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C57" lockStructure="1"/>
  <bookViews>
    <workbookView xWindow="480" yWindow="135" windowWidth="21075" windowHeight="12345"/>
  </bookViews>
  <sheets>
    <sheet name="Опросный лист" sheetId="1" r:id="rId1"/>
    <sheet name="Габариты" sheetId="2" state="hidden" r:id="rId2"/>
    <sheet name="Клеммы" sheetId="3" state="hidden" r:id="rId3"/>
    <sheet name="Кабельные вводы" sheetId="4" state="hidden" r:id="rId4"/>
  </sheets>
  <calcPr calcId="145621" iterateDelta="1E-4"/>
  <fileRecoveryPr repairLoad="1"/>
</workbook>
</file>

<file path=xl/calcChain.xml><?xml version="1.0" encoding="utf-8"?>
<calcChain xmlns="http://schemas.openxmlformats.org/spreadsheetml/2006/main">
  <c r="A98" i="4" l="1"/>
  <c r="A94" i="4"/>
  <c r="Q91" i="4"/>
  <c r="Q90" i="4"/>
  <c r="X86" i="4"/>
  <c r="S86" i="4"/>
  <c r="M86" i="4"/>
  <c r="G86" i="4"/>
  <c r="A86" i="4"/>
  <c r="X85" i="4"/>
  <c r="S85" i="4"/>
  <c r="M85" i="4"/>
  <c r="G85" i="4"/>
  <c r="A85" i="4"/>
  <c r="X84" i="4"/>
  <c r="S84" i="4"/>
  <c r="M84" i="4"/>
  <c r="G84" i="4"/>
  <c r="A84" i="4"/>
  <c r="X83" i="4"/>
  <c r="S83" i="4"/>
  <c r="M83" i="4"/>
  <c r="G83" i="4"/>
  <c r="A83" i="4"/>
  <c r="X82" i="4"/>
  <c r="S82" i="4"/>
  <c r="M82" i="4"/>
  <c r="G82" i="4"/>
  <c r="A82" i="4"/>
  <c r="X81" i="4"/>
  <c r="S81" i="4"/>
  <c r="M81" i="4"/>
  <c r="G81" i="4"/>
  <c r="A81" i="4"/>
  <c r="X80" i="4"/>
  <c r="S80" i="4"/>
  <c r="M80" i="4"/>
  <c r="G80" i="4"/>
  <c r="A80" i="4"/>
  <c r="X79" i="4"/>
  <c r="S79" i="4"/>
  <c r="M79" i="4"/>
  <c r="G79" i="4"/>
  <c r="A79" i="4"/>
  <c r="A71" i="4"/>
  <c r="A64" i="4"/>
  <c r="R62" i="4"/>
  <c r="J62" i="4"/>
  <c r="G62" i="4"/>
  <c r="D62" i="4"/>
  <c r="A62" i="4"/>
  <c r="J61" i="4"/>
  <c r="G61" i="4"/>
  <c r="D61" i="4"/>
  <c r="A61" i="4"/>
  <c r="M59" i="4"/>
  <c r="J59" i="4"/>
  <c r="G59" i="4"/>
  <c r="D59" i="4"/>
  <c r="A59" i="4"/>
  <c r="M58" i="4"/>
  <c r="J58" i="4"/>
  <c r="G58" i="4"/>
  <c r="D58" i="4"/>
  <c r="A58" i="4"/>
  <c r="M57" i="4"/>
  <c r="J57" i="4"/>
  <c r="G57" i="4"/>
  <c r="D57" i="4"/>
  <c r="A57" i="4"/>
  <c r="M56" i="4"/>
  <c r="J56" i="4"/>
  <c r="G56" i="4"/>
  <c r="D56" i="4"/>
  <c r="A56" i="4"/>
  <c r="M55" i="4"/>
  <c r="J55" i="4"/>
  <c r="G55" i="4"/>
  <c r="D55" i="4"/>
  <c r="A55" i="4"/>
  <c r="M54" i="4"/>
  <c r="J54" i="4"/>
  <c r="G54" i="4"/>
  <c r="D54" i="4"/>
  <c r="A54" i="4"/>
  <c r="M53" i="4"/>
  <c r="J53" i="4"/>
  <c r="G53" i="4"/>
  <c r="D53" i="4"/>
  <c r="A53" i="4"/>
  <c r="M52" i="4"/>
  <c r="J52" i="4"/>
  <c r="G52" i="4"/>
  <c r="D52" i="4"/>
  <c r="A52" i="4"/>
  <c r="R50" i="4"/>
  <c r="J50" i="4"/>
  <c r="G50" i="4"/>
  <c r="D50" i="4"/>
  <c r="A50" i="4"/>
  <c r="A47" i="4"/>
  <c r="I43" i="4"/>
  <c r="F43" i="4"/>
  <c r="C43" i="4"/>
  <c r="A43" i="4"/>
  <c r="I42" i="4"/>
  <c r="F42" i="4"/>
  <c r="C42" i="4"/>
  <c r="A42" i="4"/>
  <c r="I41" i="4"/>
  <c r="F41" i="4"/>
  <c r="C41" i="4"/>
  <c r="A41" i="4"/>
  <c r="I40" i="4"/>
  <c r="F40" i="4"/>
  <c r="C40" i="4"/>
  <c r="A40" i="4"/>
  <c r="I39" i="4"/>
  <c r="F39" i="4"/>
  <c r="C39" i="4"/>
  <c r="A39" i="4"/>
  <c r="I38" i="4"/>
  <c r="F38" i="4"/>
  <c r="C38" i="4"/>
  <c r="A38" i="4"/>
  <c r="I37" i="4"/>
  <c r="F37" i="4"/>
  <c r="C37" i="4"/>
  <c r="A37" i="4"/>
  <c r="I36" i="4"/>
  <c r="F36" i="4"/>
  <c r="C36" i="4"/>
  <c r="A36" i="4"/>
  <c r="E28" i="4"/>
  <c r="S20" i="4"/>
  <c r="R20" i="4"/>
  <c r="Q20" i="4"/>
  <c r="P20" i="4"/>
  <c r="M20" i="4"/>
  <c r="S19" i="4"/>
  <c r="R19" i="4"/>
  <c r="Q19" i="4"/>
  <c r="P19" i="4"/>
  <c r="M19" i="4"/>
  <c r="S18" i="4"/>
  <c r="R18" i="4"/>
  <c r="Q18" i="4"/>
  <c r="P18" i="4"/>
  <c r="M18" i="4"/>
  <c r="S17" i="4"/>
  <c r="R17" i="4"/>
  <c r="Q17" i="4"/>
  <c r="P17" i="4"/>
  <c r="M17" i="4"/>
  <c r="S16" i="4"/>
  <c r="R16" i="4"/>
  <c r="Q16" i="4"/>
  <c r="P16" i="4"/>
  <c r="M16" i="4"/>
  <c r="S15" i="4"/>
  <c r="R15" i="4"/>
  <c r="Q15" i="4"/>
  <c r="P15" i="4"/>
  <c r="M15" i="4"/>
  <c r="S14" i="4"/>
  <c r="R14" i="4"/>
  <c r="Q14" i="4"/>
  <c r="P14" i="4"/>
  <c r="M14" i="4"/>
  <c r="S13" i="4"/>
  <c r="R13" i="4"/>
  <c r="Q13" i="4"/>
  <c r="P13" i="4"/>
  <c r="M13" i="4"/>
  <c r="C97" i="3"/>
  <c r="C96" i="3"/>
  <c r="E94" i="3"/>
  <c r="C94" i="3"/>
  <c r="A94" i="3"/>
  <c r="C93" i="3"/>
  <c r="A93" i="3"/>
  <c r="G92" i="3"/>
  <c r="C92" i="3"/>
  <c r="A92" i="3"/>
  <c r="G91" i="3"/>
  <c r="C91" i="3"/>
  <c r="A91" i="3"/>
  <c r="G90" i="3"/>
  <c r="E90" i="3"/>
  <c r="C90" i="3"/>
  <c r="A90" i="3"/>
  <c r="G89" i="3"/>
  <c r="E89" i="3"/>
  <c r="C89" i="3"/>
  <c r="A89" i="3"/>
  <c r="O88" i="3"/>
  <c r="F88" i="3"/>
  <c r="C88" i="3"/>
  <c r="A88" i="3"/>
  <c r="O87" i="3"/>
  <c r="F87" i="3"/>
  <c r="C87" i="3"/>
  <c r="A87" i="3"/>
  <c r="O86" i="3"/>
  <c r="F86" i="3"/>
  <c r="C86" i="3"/>
  <c r="A86" i="3"/>
  <c r="O85" i="3"/>
  <c r="F85" i="3"/>
  <c r="C85" i="3"/>
  <c r="A85" i="3"/>
  <c r="F78" i="3"/>
  <c r="F77" i="3"/>
  <c r="F76" i="3"/>
  <c r="A76" i="3"/>
  <c r="A74" i="3"/>
  <c r="A72" i="3"/>
  <c r="A70" i="3"/>
  <c r="A68" i="3"/>
  <c r="A66" i="3"/>
  <c r="M62" i="3"/>
  <c r="L62" i="3"/>
  <c r="K62" i="3"/>
  <c r="J62" i="3"/>
  <c r="F62" i="3"/>
  <c r="D62" i="3"/>
  <c r="A62" i="3"/>
  <c r="M61" i="3"/>
  <c r="L61" i="3"/>
  <c r="K61" i="3"/>
  <c r="J61" i="3"/>
  <c r="F61" i="3"/>
  <c r="D61" i="3"/>
  <c r="A61" i="3"/>
  <c r="M60" i="3"/>
  <c r="L60" i="3"/>
  <c r="K60" i="3"/>
  <c r="J60" i="3"/>
  <c r="F60" i="3"/>
  <c r="D60" i="3"/>
  <c r="A60" i="3"/>
  <c r="M59" i="3"/>
  <c r="L59" i="3"/>
  <c r="K59" i="3"/>
  <c r="J59" i="3"/>
  <c r="F59" i="3"/>
  <c r="D59" i="3"/>
  <c r="A59" i="3"/>
  <c r="M58" i="3"/>
  <c r="L58" i="3"/>
  <c r="K58" i="3"/>
  <c r="J58" i="3"/>
  <c r="F58" i="3"/>
  <c r="D58" i="3"/>
  <c r="A58" i="3"/>
  <c r="M57" i="3"/>
  <c r="L57" i="3"/>
  <c r="K57" i="3"/>
  <c r="J57" i="3"/>
  <c r="F57" i="3"/>
  <c r="D57" i="3"/>
  <c r="A57" i="3"/>
  <c r="M56" i="3"/>
  <c r="L56" i="3"/>
  <c r="K56" i="3"/>
  <c r="J56" i="3"/>
  <c r="F56" i="3"/>
  <c r="D56" i="3"/>
  <c r="A56" i="3"/>
  <c r="M55" i="3"/>
  <c r="L55" i="3"/>
  <c r="K55" i="3"/>
  <c r="J55" i="3"/>
  <c r="F55" i="3"/>
  <c r="D55" i="3"/>
  <c r="A55" i="3"/>
  <c r="M54" i="3"/>
  <c r="L54" i="3"/>
  <c r="K54" i="3"/>
  <c r="J54" i="3"/>
  <c r="F54" i="3"/>
  <c r="D54" i="3"/>
  <c r="A54" i="3"/>
  <c r="M53" i="3"/>
  <c r="L53" i="3"/>
  <c r="K53" i="3"/>
  <c r="J53" i="3"/>
  <c r="G53" i="3"/>
  <c r="F53" i="3"/>
  <c r="D53" i="3"/>
  <c r="A53" i="3"/>
  <c r="L49" i="3"/>
  <c r="K49" i="3"/>
  <c r="J49" i="3"/>
  <c r="A49" i="3"/>
  <c r="A47" i="3"/>
  <c r="J46" i="3"/>
  <c r="A45" i="3"/>
  <c r="A44" i="3"/>
  <c r="A43" i="3"/>
  <c r="A42" i="3"/>
  <c r="A41" i="3"/>
  <c r="A40" i="3"/>
  <c r="A39" i="3"/>
  <c r="A38" i="3"/>
  <c r="A37" i="3"/>
  <c r="A36" i="3"/>
  <c r="J34" i="3"/>
  <c r="N30" i="3"/>
  <c r="N29" i="3"/>
  <c r="L16" i="3"/>
  <c r="J16" i="3"/>
  <c r="I16" i="3"/>
  <c r="H16" i="3"/>
  <c r="G16" i="3"/>
  <c r="F16" i="3"/>
  <c r="L15" i="3"/>
  <c r="J15" i="3"/>
  <c r="I15" i="3"/>
  <c r="H15" i="3"/>
  <c r="G15" i="3"/>
  <c r="F15" i="3"/>
  <c r="L14" i="3"/>
  <c r="J14" i="3"/>
  <c r="I14" i="3"/>
  <c r="H14" i="3"/>
  <c r="G14" i="3"/>
  <c r="F14" i="3"/>
  <c r="L13" i="3"/>
  <c r="J13" i="3"/>
  <c r="I13" i="3"/>
  <c r="H13" i="3"/>
  <c r="G13" i="3"/>
  <c r="F13" i="3"/>
  <c r="L12" i="3"/>
  <c r="J12" i="3"/>
  <c r="I12" i="3"/>
  <c r="H12" i="3"/>
  <c r="G12" i="3"/>
  <c r="F12" i="3"/>
  <c r="L11" i="3"/>
  <c r="J11" i="3"/>
  <c r="I11" i="3"/>
  <c r="H11" i="3"/>
  <c r="G11" i="3"/>
  <c r="F11" i="3"/>
  <c r="L10" i="3"/>
  <c r="J10" i="3"/>
  <c r="I10" i="3"/>
  <c r="H10" i="3"/>
  <c r="G10" i="3"/>
  <c r="F10" i="3"/>
  <c r="L9" i="3"/>
  <c r="J9" i="3"/>
  <c r="I9" i="3"/>
  <c r="H9" i="3"/>
  <c r="G9" i="3"/>
  <c r="F9" i="3"/>
  <c r="L8" i="3"/>
  <c r="J8" i="3"/>
  <c r="I8" i="3"/>
  <c r="H8" i="3"/>
  <c r="G8" i="3"/>
  <c r="F8" i="3"/>
  <c r="L7" i="3"/>
  <c r="J7" i="3"/>
  <c r="I7" i="3"/>
  <c r="H7" i="3"/>
  <c r="G7" i="3"/>
  <c r="F7" i="3"/>
  <c r="J27" i="2"/>
  <c r="G27" i="2"/>
  <c r="D27" i="2"/>
  <c r="J13" i="2"/>
  <c r="N4" i="2"/>
  <c r="K4" i="2"/>
  <c r="I4" i="2"/>
  <c r="A84" i="1"/>
  <c r="A80" i="1"/>
  <c r="A79" i="1"/>
  <c r="A78" i="1"/>
  <c r="A77" i="1"/>
  <c r="A76" i="1"/>
  <c r="A75" i="1"/>
  <c r="A74" i="1"/>
  <c r="A73" i="1"/>
  <c r="A69" i="1"/>
  <c r="A68" i="1"/>
  <c r="A67" i="1"/>
  <c r="A66" i="1"/>
  <c r="A65" i="1"/>
  <c r="A64" i="1"/>
  <c r="A63" i="1"/>
  <c r="A62" i="1"/>
  <c r="P58" i="1"/>
  <c r="M58" i="1"/>
  <c r="E58" i="1"/>
  <c r="A58" i="1"/>
  <c r="P57" i="1"/>
  <c r="M57" i="1"/>
  <c r="E57" i="1"/>
  <c r="A57" i="1"/>
  <c r="P56" i="1"/>
  <c r="M56" i="1"/>
  <c r="E56" i="1"/>
  <c r="A56" i="1"/>
  <c r="P55" i="1"/>
  <c r="M55" i="1"/>
  <c r="E55" i="1"/>
  <c r="A55" i="1"/>
  <c r="P54" i="1"/>
  <c r="M54" i="1"/>
  <c r="E54" i="1"/>
  <c r="A54" i="1"/>
  <c r="P53" i="1"/>
  <c r="M53" i="1"/>
  <c r="E53" i="1"/>
  <c r="A53" i="1"/>
  <c r="P52" i="1"/>
  <c r="M52" i="1"/>
  <c r="E52" i="1"/>
  <c r="A52" i="1"/>
  <c r="P51" i="1"/>
  <c r="M51" i="1"/>
  <c r="E51" i="1"/>
  <c r="A51" i="1"/>
  <c r="R28" i="1"/>
  <c r="P28" i="1"/>
  <c r="N28" i="1"/>
  <c r="L28" i="1"/>
  <c r="E28" i="1"/>
  <c r="R27" i="1"/>
  <c r="P27" i="1"/>
  <c r="N27" i="1"/>
  <c r="L27" i="1"/>
  <c r="E27" i="1"/>
  <c r="R26" i="1"/>
  <c r="P26" i="1"/>
  <c r="N26" i="1"/>
  <c r="L26" i="1"/>
  <c r="E26" i="1"/>
  <c r="R25" i="1"/>
  <c r="P25" i="1"/>
  <c r="N25" i="1"/>
  <c r="L25" i="1"/>
  <c r="E25" i="1"/>
  <c r="R24" i="1"/>
  <c r="P24" i="1"/>
  <c r="N24" i="1"/>
  <c r="L24" i="1"/>
  <c r="E24" i="1"/>
  <c r="R23" i="1"/>
  <c r="P23" i="1"/>
  <c r="N23" i="1"/>
  <c r="L23" i="1"/>
  <c r="E23" i="1"/>
  <c r="R22" i="1"/>
  <c r="P22" i="1"/>
  <c r="N22" i="1"/>
  <c r="L22" i="1"/>
  <c r="E22" i="1"/>
  <c r="R21" i="1"/>
  <c r="P21" i="1"/>
  <c r="N21" i="1"/>
  <c r="L21" i="1"/>
  <c r="E21" i="1"/>
  <c r="R20" i="1"/>
  <c r="P20" i="1"/>
  <c r="N20" i="1"/>
  <c r="L20" i="1"/>
  <c r="E20" i="1"/>
  <c r="R19" i="1"/>
  <c r="P19" i="1"/>
  <c r="N19" i="1"/>
  <c r="L19" i="1"/>
  <c r="E19" i="1"/>
  <c r="H11" i="1"/>
  <c r="E11" i="1"/>
  <c r="Q8" i="1"/>
  <c r="N8" i="1"/>
  <c r="L8" i="1"/>
  <c r="I8" i="1"/>
  <c r="A8" i="1"/>
</calcChain>
</file>

<file path=xl/sharedStrings.xml><?xml version="1.0" encoding="utf-8"?>
<sst xmlns="http://schemas.openxmlformats.org/spreadsheetml/2006/main" count="288" uniqueCount="208">
  <si>
    <t>Шифр исполнения</t>
  </si>
  <si>
    <t>Габаритные размеры</t>
  </si>
  <si>
    <t>B, мм</t>
  </si>
  <si>
    <t>L, мм</t>
  </si>
  <si>
    <t>H, мм</t>
  </si>
  <si>
    <t>Габаритные размеры с кабельными вводами</t>
  </si>
  <si>
    <t>B1, мм</t>
  </si>
  <si>
    <t>L1, мм</t>
  </si>
  <si>
    <t>H1, мм</t>
  </si>
  <si>
    <t>Масса, кг</t>
  </si>
  <si>
    <t>ККВ-1</t>
  </si>
  <si>
    <t>ККВ-2</t>
  </si>
  <si>
    <t>ККВ-3</t>
  </si>
  <si>
    <t>ККВ-4</t>
  </si>
  <si>
    <t>ККВ-5</t>
  </si>
  <si>
    <t>217х221х102</t>
  </si>
  <si>
    <t>217х322х102</t>
  </si>
  <si>
    <t>137х117х76</t>
  </si>
  <si>
    <t>460х495х280</t>
  </si>
  <si>
    <t>360х390х224</t>
  </si>
  <si>
    <t>350х350х102</t>
  </si>
  <si>
    <t>350х390х102</t>
  </si>
  <si>
    <t>137х270х76</t>
  </si>
  <si>
    <t>620х620х340</t>
  </si>
  <si>
    <t>465х465х224</t>
  </si>
  <si>
    <t>Опросный лист</t>
  </si>
  <si>
    <t>Габаритные размеры и массы исполнений ККВ</t>
  </si>
  <si>
    <t>Шифр  исполнения клеменной коробки ККВ</t>
  </si>
  <si>
    <t>Габаритные размеры (мм)</t>
  </si>
  <si>
    <t>Габаритные размеры с кабельными вводами (мм)</t>
  </si>
  <si>
    <t>Габаритные размеры и массы исполнений ККВ приведенные в таблице</t>
  </si>
  <si>
    <t>Код</t>
  </si>
  <si>
    <t>-</t>
  </si>
  <si>
    <t>Габаритные размеры,                 BxLxH, (мм)</t>
  </si>
  <si>
    <t>Габаритные размеры с кабельными вводами,                 B1xL1xH1, (мм)</t>
  </si>
  <si>
    <t>Масса,    (кг)</t>
  </si>
  <si>
    <t>Максимальное подводимое напряжение, В</t>
  </si>
  <si>
    <t>А</t>
  </si>
  <si>
    <t>Максимальное количество клемм</t>
  </si>
  <si>
    <t>Примечание</t>
  </si>
  <si>
    <t>UK 2,5N</t>
  </si>
  <si>
    <t>0,2 – 2,5</t>
  </si>
  <si>
    <t>UK 5N</t>
  </si>
  <si>
    <t>0,2 – 4,0</t>
  </si>
  <si>
    <t>MBKKB 2,5</t>
  </si>
  <si>
    <t>Контакты в двух уровнях</t>
  </si>
  <si>
    <t>UKK 5</t>
  </si>
  <si>
    <t>USLKG 2,5N</t>
  </si>
  <si>
    <t>Заземляющий контакт</t>
  </si>
  <si>
    <t>UDK3</t>
  </si>
  <si>
    <t>Контакты дублированы</t>
  </si>
  <si>
    <t>UK16N</t>
  </si>
  <si>
    <t>0,4 – 16,0</t>
  </si>
  <si>
    <t>UK6N</t>
  </si>
  <si>
    <t>0,2 – 6,0</t>
  </si>
  <si>
    <t>UKK3</t>
  </si>
  <si>
    <t>UDK4</t>
  </si>
  <si>
    <t>Сечение жил присоединяемого кабеля, мм2</t>
  </si>
  <si>
    <t>Тип конструкции клемм</t>
  </si>
  <si>
    <t>Код исполнения клемм</t>
  </si>
  <si>
    <t>Максимальный ток на один контакт, А</t>
  </si>
  <si>
    <t>Тип клемм</t>
  </si>
  <si>
    <t>Обозначение</t>
  </si>
  <si>
    <t>КОД 1</t>
  </si>
  <si>
    <t>КОД 2</t>
  </si>
  <si>
    <t>КОД 3</t>
  </si>
  <si>
    <t>КОД 4</t>
  </si>
  <si>
    <t>КОД 5</t>
  </si>
  <si>
    <t>КОД 6</t>
  </si>
  <si>
    <t>КОД 7</t>
  </si>
  <si>
    <t>КОД 8</t>
  </si>
  <si>
    <t>КОД 9</t>
  </si>
  <si>
    <t>Масса</t>
  </si>
  <si>
    <t>Обозначения исполнений по типу клемм</t>
  </si>
  <si>
    <t>Тип клеммы</t>
  </si>
  <si>
    <t xml:space="preserve">Количетсво клемм </t>
  </si>
  <si>
    <t>КОД 10</t>
  </si>
  <si>
    <t>Максимальное количество клемм (ККВ-1/ККВ-2/ККВ-3/ККВ-4/ККВ-5)</t>
  </si>
  <si>
    <t>Максимальное количество клемм (ККВ-1 / ККВ-2 / ККВ-3 / ККВ-4 / ККВ-5)</t>
  </si>
  <si>
    <t>Расположение клемм</t>
  </si>
  <si>
    <t>однорядное</t>
  </si>
  <si>
    <t>двухрядное</t>
  </si>
  <si>
    <t>ТИП КОРОБКИ</t>
  </si>
  <si>
    <t>Ширина клеммы, мм</t>
  </si>
  <si>
    <t>Установочный размер коробки, мм</t>
  </si>
  <si>
    <t>Логическая ячейка одно/двухрядного расположения клемм</t>
  </si>
  <si>
    <t>Логическая ячейка учета расположения клемм и типа коробки</t>
  </si>
  <si>
    <t>Сообщение 1</t>
  </si>
  <si>
    <t>Сообщение 2</t>
  </si>
  <si>
    <t>Логическая ячейка проверки правильности ввода данных</t>
  </si>
  <si>
    <t>Проверка возможности установки заданного числа клемм</t>
  </si>
  <si>
    <t>Расчет посадочного места для заданного числа клемм</t>
  </si>
  <si>
    <t>Вывод итогового сообщения</t>
  </si>
  <si>
    <t>Вывод исполнения</t>
  </si>
  <si>
    <t>Результат для вкладки "Опросный лист"</t>
  </si>
  <si>
    <t>ЦКЛГ.685631.000</t>
  </si>
  <si>
    <t>КВУ-05</t>
  </si>
  <si>
    <t>DIN-рейка типа NS-35/7,5</t>
  </si>
  <si>
    <t>ЦКЛГ.685631.000-01</t>
  </si>
  <si>
    <t>КВУ-05-01</t>
  </si>
  <si>
    <t>ЦКЛГ.685631.000-02</t>
  </si>
  <si>
    <t>КВУ-05-02</t>
  </si>
  <si>
    <t>ЦКЛГ.685631.000-03</t>
  </si>
  <si>
    <t>КВУ-05-03</t>
  </si>
  <si>
    <t>Монтажная панель</t>
  </si>
  <si>
    <t>ЦКЛГ.685631.000-04</t>
  </si>
  <si>
    <t>КВУ-05-06</t>
  </si>
  <si>
    <t>Обозначение исполнения</t>
  </si>
  <si>
    <t>Шифр исполнения коробки</t>
  </si>
  <si>
    <t>Обозначение исполнения коробки</t>
  </si>
  <si>
    <t>Шифр исполнения корпуса</t>
  </si>
  <si>
    <t>Максимальное количество кабельных вводов на сторонах: А/Б/В/Г</t>
  </si>
  <si>
    <t>Конструктивные особенности</t>
  </si>
  <si>
    <t>4/3/4/3</t>
  </si>
  <si>
    <t>6/3/6/3</t>
  </si>
  <si>
    <t>2/0/2/0</t>
  </si>
  <si>
    <t>25/25/25/25</t>
  </si>
  <si>
    <t>10/10/10/10</t>
  </si>
  <si>
    <t>Монтажная панель или DIN-рейка типа NS-35/7,5</t>
  </si>
  <si>
    <t>Способ монтажа кабеля</t>
  </si>
  <si>
    <t>ЦКЛГ.713721.004</t>
  </si>
  <si>
    <t>КВВ-З</t>
  </si>
  <si>
    <t>ЦКЛГ.687151.000</t>
  </si>
  <si>
    <t>КВВ-1-1</t>
  </si>
  <si>
    <t>Электромонтаж кабеля в трубе</t>
  </si>
  <si>
    <t>ЦКЛГ.687151.000-02</t>
  </si>
  <si>
    <t>КВВ-2-1</t>
  </si>
  <si>
    <t>Электромонтаж бронированного кабеля</t>
  </si>
  <si>
    <t>ЦКЛГ.687151.000-04</t>
  </si>
  <si>
    <t>КВВ-3-1</t>
  </si>
  <si>
    <t>ЦКЛГ.687151.000-06</t>
  </si>
  <si>
    <t>КВВ-4-1</t>
  </si>
  <si>
    <t>ЦКЛГ.687151.000-08</t>
  </si>
  <si>
    <t>КВВ-5-1</t>
  </si>
  <si>
    <t>Электромонтаж кабеля в металлорукаве с ПВХ оболочкой</t>
  </si>
  <si>
    <t>Обозначение исполнений кабельного ввода</t>
  </si>
  <si>
    <t>Код исполнения кабельного ввода по способу монтажа</t>
  </si>
  <si>
    <t>Шифр кабельного ввода</t>
  </si>
  <si>
    <t>Заглушка (без установки кабельного ввода)</t>
  </si>
  <si>
    <t>Электромонтаж кабеля в металлорукаве</t>
  </si>
  <si>
    <t>Электромонтаж кабеля без дополнительной оболочки</t>
  </si>
  <si>
    <t>Код исполнения кабельного ввода по диаметру кабеля</t>
  </si>
  <si>
    <t>Минимальный и максимальный диаметр уплотняемого кабеля, мм</t>
  </si>
  <si>
    <t>Обозначение присоединительной резьбы (справочное)</t>
  </si>
  <si>
    <t>М16×1,5</t>
  </si>
  <si>
    <t>М20×1,5</t>
  </si>
  <si>
    <t>М24×1,5</t>
  </si>
  <si>
    <t>М27×1,5</t>
  </si>
  <si>
    <t>М33×1,5</t>
  </si>
  <si>
    <t>М39×1,5</t>
  </si>
  <si>
    <t>Количество кабельных вводов</t>
  </si>
  <si>
    <t>Код 1</t>
  </si>
  <si>
    <t>Размер</t>
  </si>
  <si>
    <t>Код 2</t>
  </si>
  <si>
    <t>Шифр исполнения кабельного ввода</t>
  </si>
  <si>
    <t>Исполнение коробки</t>
  </si>
  <si>
    <t>Сторона А</t>
  </si>
  <si>
    <t>Сторона Б</t>
  </si>
  <si>
    <t>Сторона В</t>
  </si>
  <si>
    <t>Сторона Г</t>
  </si>
  <si>
    <r>
      <t xml:space="preserve">П р и м е ч а н и я:
</t>
    </r>
    <r>
      <rPr>
        <sz val="10"/>
        <color theme="1"/>
        <rFont val="Arial"/>
        <family val="2"/>
        <charset val="204"/>
      </rPr>
      <t>1  При использовании кабельных вводов типа КВВ-2-1 внутрь оболочки клеммной коробки вводится кабель после разделки брони;
2  Для исполнений КВВ-5 условный проход меньше на 4 мм относительно ДУ металлорукава.</t>
    </r>
  </si>
  <si>
    <t>Логическая ячейка 1. Проверка правильности ввода данных</t>
  </si>
  <si>
    <t>Логическая ячейка 2. Проверка количества кабельных вводов</t>
  </si>
  <si>
    <t>Логическая ячейка 3. Сшивка по сторонам</t>
  </si>
  <si>
    <t>Сообщение 3</t>
  </si>
  <si>
    <t>(Превышено максимальное количество кабельных вводов)</t>
  </si>
  <si>
    <t>Другие</t>
  </si>
  <si>
    <r>
      <t xml:space="preserve">Н а з н а ч е н и е : </t>
    </r>
    <r>
      <rPr>
        <sz val="10"/>
        <color theme="1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Коробки клеммные взрывозащищенные ККВ предназначены для размещения клеммных колодок в случае необходимости монтажа их во взрыво-опасных зонах.</t>
    </r>
  </si>
  <si>
    <t>Порядковый номер выбранных по таблице клемм</t>
  </si>
  <si>
    <t>Основные характеристики</t>
  </si>
  <si>
    <r>
      <t xml:space="preserve">Код исполнения кабельного ввода по способу монтажа </t>
    </r>
    <r>
      <rPr>
        <b/>
        <sz val="10"/>
        <rFont val="Arial"/>
        <family val="2"/>
        <charset val="204"/>
      </rPr>
      <t>кабеля</t>
    </r>
  </si>
  <si>
    <t>Дополнение к заказу</t>
  </si>
  <si>
    <t>замыкающие контакты для организации электрической связи между разнесенными клеммами</t>
  </si>
  <si>
    <t xml:space="preserve"> концевые панели для организации нескольких групп клемм; </t>
  </si>
  <si>
    <t xml:space="preserve">изолирующая панель для выполнения повышенной электроизоляции между соседними клеммами в составе одной группы (для клемм UK); </t>
  </si>
  <si>
    <t xml:space="preserve">замыкающие контакты на 2, 3 и 10 позиций; </t>
  </si>
  <si>
    <r>
      <t>П р и м е ч а н и я:</t>
    </r>
    <r>
      <rPr>
        <sz val="10"/>
        <color theme="1"/>
        <rFont val="Arial"/>
        <family val="2"/>
        <charset val="204"/>
      </rPr>
      <t xml:space="preserve">
1 Тип установленных клемм может отличаться от указанных в таблице клемм фирмы PHOENIX CONTACT.
2 При установке дополнительных концевых и изолирующих панелей общее число установленных клемм будет меньше, указанного в таблице.                                                                                                                                          </t>
    </r>
  </si>
  <si>
    <t>MBKKB 2,5 (контакты в двух уровнях)</t>
  </si>
  <si>
    <t>UKK 5 (контакты в двух уровнях)</t>
  </si>
  <si>
    <t>USLKG 2,5N (заземляющий контакт)</t>
  </si>
  <si>
    <t>UDK3 (контакты дублированы)</t>
  </si>
  <si>
    <t>UKK3 (контакты в двух уровнях)</t>
  </si>
  <si>
    <t>UDK4 (контакты дублированы)</t>
  </si>
  <si>
    <r>
      <rPr>
        <b/>
        <sz val="10"/>
        <color theme="1"/>
        <rFont val="Arial"/>
        <family val="2"/>
        <charset val="204"/>
      </rPr>
      <t>П р и м е ч а н и я :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Исполнения ККВ отличаются размером применяемого корпуса КВУ-05, количеством и типом клемм, количеством, расположением и типом кабельных вводов, выбираемых при заказе;                                          2 Ограничения в таблице по количеству кабельных вводов справедливо для присоединительной резьбы М12, М16 и М20, в остальных случаях количество устанавливаемых вводов согласовывается дополнительно.</t>
    </r>
  </si>
  <si>
    <t>Сообщения</t>
  </si>
  <si>
    <t>обозначение присоединительной резьбы к  трубе</t>
  </si>
  <si>
    <t>значение диаметра кабеля после разделки брони</t>
  </si>
  <si>
    <t>обозначение типа и Ду  металлорукава</t>
  </si>
  <si>
    <t>КВВ-1</t>
  </si>
  <si>
    <t>КВВ-2</t>
  </si>
  <si>
    <t>КВВ-3, КВВ-5</t>
  </si>
  <si>
    <t>3, 5</t>
  </si>
  <si>
    <t>Совместная установка разных типов клемм в одну коробку (порядковый номер)</t>
  </si>
  <si>
    <r>
      <t xml:space="preserve">Введите обозначение и основные характеристики требуемых клемм, если в таблице выбран тип клемм "Другие"              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Обратите внимание!</t>
    </r>
    <r>
      <rPr>
        <sz val="10"/>
        <color theme="1"/>
        <rFont val="Arial"/>
        <family val="2"/>
        <charset val="204"/>
      </rPr>
      <t xml:space="preserve"> Вносить информацию необходимо в ту строку, порядковый номер которой совпадает с номером выбранного исполнения типа клемм "Другие" в таблице выше)</t>
    </r>
  </si>
  <si>
    <t xml:space="preserve"> (Превышено максимально допустимое число клемм)</t>
  </si>
  <si>
    <t>(Укажите требуемое число клемм для выбранных исполнений)</t>
  </si>
  <si>
    <t>(Укажите в таблице характеристики типа клемм "Другие")</t>
  </si>
  <si>
    <t>(Выберите способ монтажа кабельного ввода)</t>
  </si>
  <si>
    <t>(Введите требуемое количество кабельных вводов)</t>
  </si>
  <si>
    <t>Сообщение 4</t>
  </si>
  <si>
    <t>При выборе исполнений кабельного ввода КВВ-1-1, КВВ-2-1, КВВ-3-1 или КВВ-5-1 - укажите в таблице конструкционные особенности заказа</t>
  </si>
  <si>
    <t>Двухрядное расположение клемм доступно только для ККВ-4 и ККВ-5</t>
  </si>
  <si>
    <t xml:space="preserve">Если выбраны исполнения кабельного ввода КВВ-1-1, КВВ-2-1, КВВ-3-1 или КВВ-5-1 укажите дополнительно:                         </t>
  </si>
  <si>
    <r>
      <t xml:space="preserve">Количество кабельных вводов                                                                                                                    (Обратите внимание! </t>
    </r>
    <r>
      <rPr>
        <sz val="10"/>
        <color theme="1"/>
        <rFont val="Arial"/>
        <family val="2"/>
        <charset val="204"/>
      </rPr>
      <t>Заполняемая Вами строка должна соответствовать порядковому номеру выбранного исполнения кабельного ввода</t>
    </r>
    <r>
      <rPr>
        <b/>
        <sz val="10"/>
        <color theme="1"/>
        <rFont val="Arial"/>
        <family val="2"/>
        <charset val="204"/>
      </rPr>
      <t>)</t>
    </r>
  </si>
  <si>
    <t>ПРИМЕЧАНИЕ: для копирования кода щелкните по нему правой кнопкой мыши и выберите в выплывающем меню пункт "копировать"</t>
  </si>
  <si>
    <t xml:space="preserve">Количество клемм </t>
  </si>
  <si>
    <r>
      <rPr>
        <b/>
        <sz val="10"/>
        <color theme="1"/>
        <rFont val="Arial"/>
        <family val="2"/>
        <charset val="204"/>
      </rPr>
      <t>Обратите внимание:</t>
    </r>
    <r>
      <rPr>
        <sz val="10"/>
        <color theme="1"/>
        <rFont val="Arial"/>
        <family val="2"/>
        <charset val="204"/>
      </rPr>
      <t xml:space="preserve"> в комплект поставки ККВ могут быть включены дополнительные монтажные элементы, поставляемые фирмой PHOENIX CONTACT для оборудования клемм (при необходимости поставьте галочку на интересующую Вас позицию):
     концевые панели для организации нескольких групп клемм;
     изолирующая панель для выполнения повышенной электроизоляции между соседними клеммами в составе одной группы     (для клемм UK);
     замыкающие контакты на 2, 3 и 10 позиций;
     замыкающие контакты для организации электрической связи между разнесенными клеммами.</t>
    </r>
  </si>
  <si>
    <t>Коробка клеммная взрывозащищенная ККВ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</si>
</sst>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wrapText="1"/>
    </xf>
    <xf numFmtId="0" fontId="0" fillId="0" borderId="0" xfId="0" applyBorder="1"/>
    <xf numFmtId="0" fontId="1" fillId="0" borderId="0" xfId="0" applyFont="1" applyBorder="1" applyAlignment="1"/>
    <xf numFmtId="0" fontId="0" fillId="3" borderId="0" xfId="0" applyFill="1" applyBorder="1" applyAlignment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/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Border="1" applyAlignment="1"/>
    <xf numFmtId="0" fontId="1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vertical="center" wrapText="1"/>
    </xf>
    <xf numFmtId="0" fontId="1" fillId="0" borderId="0" xfId="0" applyFont="1" applyProtection="1"/>
    <xf numFmtId="0" fontId="0" fillId="0" borderId="0" xfId="0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3" fillId="4" borderId="21" xfId="0" applyFont="1" applyFill="1" applyBorder="1" applyAlignment="1" applyProtection="1">
      <protection locked="0"/>
    </xf>
    <xf numFmtId="0" fontId="0" fillId="4" borderId="34" xfId="0" applyFill="1" applyBorder="1" applyProtection="1">
      <protection locked="0"/>
    </xf>
    <xf numFmtId="0" fontId="3" fillId="4" borderId="23" xfId="0" applyFont="1" applyFill="1" applyBorder="1" applyAlignment="1" applyProtection="1">
      <protection locked="0"/>
    </xf>
    <xf numFmtId="0" fontId="3" fillId="4" borderId="56" xfId="0" applyFont="1" applyFill="1" applyBorder="1" applyAlignment="1" applyProtection="1">
      <protection locked="0"/>
    </xf>
    <xf numFmtId="0" fontId="0" fillId="4" borderId="33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4" xfId="0" applyFill="1" applyBorder="1" applyProtection="1">
      <protection locked="0"/>
    </xf>
    <xf numFmtId="0" fontId="0" fillId="0" borderId="33" xfId="0" applyBorder="1" applyAlignment="1" applyProtection="1"/>
    <xf numFmtId="0" fontId="0" fillId="0" borderId="0" xfId="0" applyAlignment="1" applyProtection="1"/>
    <xf numFmtId="0" fontId="3" fillId="0" borderId="42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/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0" fillId="0" borderId="30" xfId="0" applyBorder="1" applyAlignment="1" applyProtection="1"/>
    <xf numFmtId="0" fontId="0" fillId="0" borderId="68" xfId="0" applyBorder="1" applyProtection="1"/>
    <xf numFmtId="0" fontId="0" fillId="0" borderId="26" xfId="0" applyBorder="1" applyProtection="1"/>
    <xf numFmtId="0" fontId="0" fillId="0" borderId="14" xfId="0" applyBorder="1" applyProtection="1"/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3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4" borderId="0" xfId="0" applyFill="1" applyProtection="1"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11" fillId="4" borderId="60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3" xfId="0" applyFont="1" applyBorder="1" applyAlignment="1" applyProtection="1"/>
    <xf numFmtId="0" fontId="3" fillId="0" borderId="1" xfId="0" applyFont="1" applyBorder="1" applyAlignment="1" applyProtection="1"/>
    <xf numFmtId="0" fontId="3" fillId="0" borderId="24" xfId="0" applyFont="1" applyFill="1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9" fillId="3" borderId="0" xfId="0" applyFont="1" applyFill="1"/>
    <xf numFmtId="0" fontId="7" fillId="5" borderId="13" xfId="0" applyFont="1" applyFill="1" applyBorder="1" applyAlignment="1" applyProtection="1">
      <alignment horizontal="center" vertical="center"/>
    </xf>
    <xf numFmtId="0" fontId="7" fillId="5" borderId="26" xfId="0" applyFont="1" applyFill="1" applyBorder="1" applyAlignment="1" applyProtection="1">
      <alignment horizontal="center" vertical="center"/>
    </xf>
    <xf numFmtId="0" fontId="7" fillId="5" borderId="59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/>
    <xf numFmtId="0" fontId="7" fillId="5" borderId="50" xfId="0" applyFont="1" applyFill="1" applyBorder="1" applyAlignment="1" applyProtection="1">
      <alignment horizontal="center" vertical="center"/>
    </xf>
    <xf numFmtId="0" fontId="7" fillId="5" borderId="51" xfId="0" applyFont="1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19" fillId="0" borderId="0" xfId="0" applyFont="1" applyProtection="1"/>
    <xf numFmtId="0" fontId="18" fillId="3" borderId="0" xfId="0" applyFont="1" applyFill="1" applyAlignment="1" applyProtection="1">
      <alignment vertical="center" wrapText="1"/>
    </xf>
    <xf numFmtId="0" fontId="20" fillId="3" borderId="0" xfId="0" applyFont="1" applyFill="1" applyProtection="1"/>
    <xf numFmtId="0" fontId="7" fillId="5" borderId="2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vertical="center" wrapText="1"/>
    </xf>
    <xf numFmtId="0" fontId="6" fillId="0" borderId="49" xfId="0" applyFont="1" applyBorder="1" applyAlignment="1" applyProtection="1">
      <alignment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6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4" xfId="0" applyBorder="1" applyAlignment="1" applyProtection="1">
      <alignment vertical="center" wrapText="1"/>
    </xf>
    <xf numFmtId="0" fontId="0" fillId="7" borderId="0" xfId="0" applyFill="1" applyAlignment="1" applyProtection="1"/>
    <xf numFmtId="0" fontId="0" fillId="7" borderId="4" xfId="0" applyFill="1" applyBorder="1"/>
    <xf numFmtId="0" fontId="0" fillId="7" borderId="4" xfId="0" applyFill="1" applyBorder="1" applyProtection="1"/>
    <xf numFmtId="0" fontId="6" fillId="3" borderId="0" xfId="0" applyFont="1" applyFill="1" applyBorder="1" applyAlignment="1" applyProtection="1">
      <alignment horizontal="left" vertical="center" wrapText="1"/>
    </xf>
    <xf numFmtId="0" fontId="0" fillId="7" borderId="4" xfId="0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/>
    </xf>
    <xf numFmtId="0" fontId="7" fillId="5" borderId="49" xfId="0" applyFont="1" applyFill="1" applyBorder="1" applyAlignment="1" applyProtection="1">
      <alignment horizontal="center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 wrapText="1"/>
    </xf>
    <xf numFmtId="0" fontId="7" fillId="5" borderId="35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36" xfId="0" applyFont="1" applyFill="1" applyBorder="1" applyAlignment="1" applyProtection="1">
      <alignment horizontal="center" vertical="center" wrapText="1"/>
    </xf>
    <xf numFmtId="0" fontId="7" fillId="6" borderId="50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7" fillId="6" borderId="51" xfId="0" applyFont="1" applyFill="1" applyBorder="1" applyAlignment="1" applyProtection="1">
      <alignment horizontal="center" vertical="center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59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69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5" borderId="18" xfId="0" applyFont="1" applyFill="1" applyBorder="1" applyAlignment="1" applyProtection="1">
      <alignment horizontal="center" vertical="center" wrapText="1"/>
    </xf>
    <xf numFmtId="0" fontId="17" fillId="5" borderId="36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vertical="center" wrapText="1"/>
    </xf>
    <xf numFmtId="0" fontId="14" fillId="5" borderId="30" xfId="0" applyFont="1" applyFill="1" applyBorder="1" applyAlignment="1" applyProtection="1">
      <alignment horizontal="center" vertical="center" wrapText="1"/>
    </xf>
    <xf numFmtId="0" fontId="14" fillId="5" borderId="32" xfId="0" applyFont="1" applyFill="1" applyBorder="1" applyAlignment="1" applyProtection="1">
      <alignment horizontal="center" vertical="center" wrapText="1"/>
    </xf>
    <xf numFmtId="0" fontId="14" fillId="5" borderId="35" xfId="0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14" fillId="5" borderId="36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 applyProtection="1">
      <alignment horizontal="center" vertical="center" wrapText="1"/>
    </xf>
    <xf numFmtId="0" fontId="16" fillId="5" borderId="32" xfId="0" applyFont="1" applyFill="1" applyBorder="1" applyAlignment="1" applyProtection="1">
      <alignment horizontal="center" vertical="center" wrapText="1"/>
    </xf>
    <xf numFmtId="0" fontId="16" fillId="5" borderId="35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36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8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63" xfId="0" applyFont="1" applyFill="1" applyBorder="1" applyAlignment="1" applyProtection="1">
      <alignment horizontal="center"/>
      <protection locked="0"/>
    </xf>
    <xf numFmtId="0" fontId="7" fillId="5" borderId="48" xfId="0" applyFont="1" applyFill="1" applyBorder="1" applyAlignment="1" applyProtection="1">
      <alignment horizontal="center"/>
    </xf>
    <xf numFmtId="0" fontId="6" fillId="5" borderId="30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36" xfId="0" applyFont="1" applyFill="1" applyBorder="1" applyAlignment="1" applyProtection="1">
      <alignment horizontal="center" vertical="center" wrapText="1"/>
    </xf>
    <xf numFmtId="0" fontId="7" fillId="5" borderId="48" xfId="0" applyFont="1" applyFill="1" applyBorder="1" applyAlignment="1" applyProtection="1">
      <alignment horizontal="center" vertical="center" wrapText="1"/>
    </xf>
    <xf numFmtId="0" fontId="7" fillId="5" borderId="49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/>
    </xf>
    <xf numFmtId="0" fontId="7" fillId="5" borderId="28" xfId="0" applyFont="1" applyFill="1" applyBorder="1" applyAlignment="1" applyProtection="1">
      <alignment horizontal="center"/>
    </xf>
    <xf numFmtId="0" fontId="7" fillId="5" borderId="23" xfId="0" applyFont="1" applyFill="1" applyBorder="1" applyAlignment="1" applyProtection="1">
      <alignment horizontal="center"/>
    </xf>
    <xf numFmtId="0" fontId="7" fillId="5" borderId="24" xfId="0" applyFont="1" applyFill="1" applyBorder="1" applyAlignment="1" applyProtection="1">
      <alignment horizontal="center"/>
    </xf>
    <xf numFmtId="0" fontId="7" fillId="5" borderId="27" xfId="0" applyFont="1" applyFill="1" applyBorder="1" applyAlignment="1" applyProtection="1">
      <alignment horizontal="center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7" fillId="3" borderId="57" xfId="0" applyFont="1" applyFill="1" applyBorder="1" applyAlignment="1" applyProtection="1">
      <alignment horizontal="center"/>
      <protection locked="0"/>
    </xf>
    <xf numFmtId="0" fontId="7" fillId="3" borderId="6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3" fillId="5" borderId="35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5" borderId="36" xfId="0" applyFont="1" applyFill="1" applyBorder="1" applyAlignment="1" applyProtection="1">
      <alignment horizontal="center"/>
    </xf>
    <xf numFmtId="0" fontId="3" fillId="5" borderId="29" xfId="0" applyFont="1" applyFill="1" applyBorder="1" applyAlignment="1" applyProtection="1">
      <alignment horizontal="center"/>
    </xf>
    <xf numFmtId="0" fontId="3" fillId="5" borderId="48" xfId="0" applyFont="1" applyFill="1" applyBorder="1" applyAlignment="1" applyProtection="1">
      <alignment horizontal="center"/>
    </xf>
    <xf numFmtId="0" fontId="3" fillId="5" borderId="49" xfId="0" applyFont="1" applyFill="1" applyBorder="1" applyAlignment="1" applyProtection="1">
      <alignment horizontal="center"/>
    </xf>
    <xf numFmtId="0" fontId="8" fillId="5" borderId="31" xfId="0" applyFont="1" applyFill="1" applyBorder="1" applyAlignment="1" applyProtection="1">
      <alignment horizontal="center"/>
    </xf>
    <xf numFmtId="0" fontId="8" fillId="5" borderId="33" xfId="0" applyFont="1" applyFill="1" applyBorder="1" applyAlignment="1" applyProtection="1">
      <alignment horizontal="center"/>
    </xf>
    <xf numFmtId="0" fontId="8" fillId="5" borderId="35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 vertical="center"/>
    </xf>
    <xf numFmtId="0" fontId="6" fillId="5" borderId="30" xfId="0" applyFont="1" applyFill="1" applyBorder="1" applyAlignment="1" applyProtection="1">
      <alignment horizontal="center" vertical="center"/>
    </xf>
    <xf numFmtId="0" fontId="6" fillId="5" borderId="33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29" xfId="0" applyFont="1" applyFill="1" applyBorder="1" applyAlignment="1" applyProtection="1">
      <alignment horizontal="center"/>
    </xf>
    <xf numFmtId="0" fontId="6" fillId="5" borderId="48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/>
    </xf>
    <xf numFmtId="0" fontId="6" fillId="5" borderId="16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/>
    </xf>
    <xf numFmtId="0" fontId="7" fillId="3" borderId="65" xfId="0" applyFont="1" applyFill="1" applyBorder="1" applyAlignment="1" applyProtection="1">
      <alignment horizontal="center"/>
      <protection locked="0"/>
    </xf>
    <xf numFmtId="0" fontId="7" fillId="3" borderId="66" xfId="0" applyFont="1" applyFill="1" applyBorder="1" applyAlignment="1" applyProtection="1">
      <alignment horizontal="center"/>
      <protection locked="0"/>
    </xf>
    <xf numFmtId="0" fontId="6" fillId="5" borderId="64" xfId="0" applyFont="1" applyFill="1" applyBorder="1" applyAlignment="1" applyProtection="1">
      <alignment horizontal="center"/>
    </xf>
    <xf numFmtId="0" fontId="6" fillId="5" borderId="54" xfId="0" applyFont="1" applyFill="1" applyBorder="1" applyAlignment="1" applyProtection="1">
      <alignment horizontal="center"/>
    </xf>
    <xf numFmtId="0" fontId="6" fillId="5" borderId="6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3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5" borderId="46" xfId="0" applyFont="1" applyFill="1" applyBorder="1" applyAlignment="1" applyProtection="1">
      <alignment horizontal="center" vertical="center" wrapText="1"/>
    </xf>
    <xf numFmtId="0" fontId="7" fillId="5" borderId="42" xfId="0" applyFont="1" applyFill="1" applyBorder="1" applyAlignment="1" applyProtection="1">
      <alignment horizontal="center" vertical="center" wrapText="1"/>
    </xf>
    <xf numFmtId="0" fontId="7" fillId="5" borderId="43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7" fillId="5" borderId="35" xfId="0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</xf>
    <xf numFmtId="0" fontId="0" fillId="2" borderId="48" xfId="0" applyFill="1" applyBorder="1" applyAlignment="1" applyProtection="1">
      <alignment horizontal="center"/>
    </xf>
    <xf numFmtId="0" fontId="0" fillId="2" borderId="49" xfId="0" applyFill="1" applyBorder="1" applyAlignment="1" applyProtection="1">
      <alignment horizontal="center"/>
    </xf>
    <xf numFmtId="0" fontId="9" fillId="4" borderId="51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 horizontal="center"/>
      <protection locked="0"/>
    </xf>
    <xf numFmtId="0" fontId="9" fillId="4" borderId="40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9" fillId="4" borderId="59" xfId="0" applyFont="1" applyFill="1" applyBorder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wrapText="1"/>
      <protection locked="0"/>
    </xf>
    <xf numFmtId="0" fontId="3" fillId="4" borderId="48" xfId="0" applyFont="1" applyFill="1" applyBorder="1" applyAlignment="1" applyProtection="1">
      <alignment horizontal="center" wrapText="1"/>
      <protection locked="0"/>
    </xf>
    <xf numFmtId="0" fontId="3" fillId="4" borderId="49" xfId="0" applyFont="1" applyFill="1" applyBorder="1" applyAlignment="1" applyProtection="1">
      <alignment horizontal="center" wrapText="1"/>
      <protection locked="0"/>
    </xf>
    <xf numFmtId="0" fontId="3" fillId="2" borderId="29" xfId="0" applyFont="1" applyFill="1" applyBorder="1" applyAlignment="1" applyProtection="1">
      <alignment horizontal="center" wrapText="1"/>
    </xf>
    <xf numFmtId="0" fontId="3" fillId="2" borderId="48" xfId="0" applyFont="1" applyFill="1" applyBorder="1" applyAlignment="1" applyProtection="1">
      <alignment horizontal="center" wrapText="1"/>
    </xf>
    <xf numFmtId="0" fontId="3" fillId="2" borderId="49" xfId="0" applyFont="1" applyFill="1" applyBorder="1" applyAlignment="1" applyProtection="1">
      <alignment horizontal="center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37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2" fillId="4" borderId="53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58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16" fontId="11" fillId="0" borderId="37" xfId="0" applyNumberFormat="1" applyFont="1" applyBorder="1" applyAlignment="1" applyProtection="1">
      <alignment horizontal="center" vertical="center" wrapText="1"/>
    </xf>
    <xf numFmtId="16" fontId="11" fillId="0" borderId="27" xfId="0" applyNumberFormat="1" applyFont="1" applyBorder="1" applyAlignment="1" applyProtection="1">
      <alignment horizontal="center" vertical="center" wrapText="1"/>
    </xf>
    <xf numFmtId="16" fontId="11" fillId="0" borderId="62" xfId="0" applyNumberFormat="1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62" xfId="0" applyFont="1" applyBorder="1" applyAlignment="1" applyProtection="1">
      <alignment horizontal="center" vertical="center" wrapText="1"/>
    </xf>
    <xf numFmtId="0" fontId="12" fillId="0" borderId="53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6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16" fontId="11" fillId="0" borderId="8" xfId="0" applyNumberFormat="1" applyFont="1" applyBorder="1" applyAlignment="1" applyProtection="1">
      <alignment horizontal="center" vertical="center" wrapText="1"/>
    </xf>
    <xf numFmtId="0" fontId="6" fillId="5" borderId="64" xfId="0" applyFont="1" applyFill="1" applyBorder="1" applyAlignment="1" applyProtection="1">
      <alignment horizontal="center" vertical="center" wrapText="1"/>
    </xf>
    <xf numFmtId="0" fontId="6" fillId="5" borderId="71" xfId="0" applyFont="1" applyFill="1" applyBorder="1" applyAlignment="1" applyProtection="1">
      <alignment horizontal="center" vertical="center" wrapText="1"/>
    </xf>
    <xf numFmtId="0" fontId="6" fillId="5" borderId="5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3" fillId="4" borderId="37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4" borderId="53" xfId="0" applyFont="1" applyFill="1" applyBorder="1" applyAlignment="1" applyProtection="1">
      <alignment horizontal="center" wrapText="1"/>
      <protection locked="0"/>
    </xf>
    <xf numFmtId="0" fontId="3" fillId="4" borderId="2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3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25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horizontal="center" wrapText="1"/>
      <protection locked="0"/>
    </xf>
    <xf numFmtId="0" fontId="3" fillId="4" borderId="11" xfId="0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0" fontId="13" fillId="2" borderId="49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3" fillId="4" borderId="70" xfId="0" applyFont="1" applyFill="1" applyBorder="1" applyAlignment="1" applyProtection="1">
      <alignment horizontal="center" wrapText="1"/>
      <protection locked="0"/>
    </xf>
    <xf numFmtId="0" fontId="3" fillId="4" borderId="66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Габариты!$I$13" fmlaRange="Габариты!$A$13:$D$17" val="0"/>
</file>

<file path=xl/ctrlProps/ctrlProp10.xml><?xml version="1.0" encoding="utf-8"?>
<formControlPr xmlns="http://schemas.microsoft.com/office/spreadsheetml/2009/9/main" objectType="Drop" dropLines="4" dropStyle="combo" dx="16" fmlaLink="Клеммы!$H$53" fmlaRange="Клеммы!$M$21:$N$22" val="0"/>
</file>

<file path=xl/ctrlProps/ctrlProp11.xml><?xml version="1.0" encoding="utf-8"?>
<formControlPr xmlns="http://schemas.microsoft.com/office/spreadsheetml/2009/9/main" objectType="Drop" dropLines="10" dropStyle="combo" dx="16" fmlaLink="'Кабельные вводы'!$K$13:$L$13" fmlaRange="'Кабельные вводы'!$M$13:$M$21" sel="9" val="0"/>
</file>

<file path=xl/ctrlProps/ctrlProp12.xml><?xml version="1.0" encoding="utf-8"?>
<formControlPr xmlns="http://schemas.microsoft.com/office/spreadsheetml/2009/9/main" objectType="Drop" dropStyle="combo" dx="16" fmlaLink="'Кабельные вводы'!$N$13" fmlaRange="'Кабельные вводы'!$K$2:$N$8" sel="7" val="0"/>
</file>

<file path=xl/ctrlProps/ctrlProp13.xml><?xml version="1.0" encoding="utf-8"?>
<formControlPr xmlns="http://schemas.microsoft.com/office/spreadsheetml/2009/9/main" objectType="Drop" dropLines="10" dropStyle="combo" dx="16" fmlaLink="'Кабельные вводы'!$K$14:$L$14" fmlaRange="'Кабельные вводы'!$M$13:$M$21" sel="9" val="0"/>
</file>

<file path=xl/ctrlProps/ctrlProp14.xml><?xml version="1.0" encoding="utf-8"?>
<formControlPr xmlns="http://schemas.microsoft.com/office/spreadsheetml/2009/9/main" objectType="Drop" dropLines="10" dropStyle="combo" dx="16" fmlaLink="'Кабельные вводы'!$K$15:$L$15" fmlaRange="'Кабельные вводы'!$M$13:$M$21" sel="9" val="0"/>
</file>

<file path=xl/ctrlProps/ctrlProp15.xml><?xml version="1.0" encoding="utf-8"?>
<formControlPr xmlns="http://schemas.microsoft.com/office/spreadsheetml/2009/9/main" objectType="Drop" dropLines="10" dropStyle="combo" dx="16" fmlaLink="'Кабельные вводы'!$K$16:$L$16" fmlaRange="'Кабельные вводы'!$M$13:$M$21" sel="9" val="0"/>
</file>

<file path=xl/ctrlProps/ctrlProp16.xml><?xml version="1.0" encoding="utf-8"?>
<formControlPr xmlns="http://schemas.microsoft.com/office/spreadsheetml/2009/9/main" objectType="Drop" dropLines="10" dropStyle="combo" dx="16" fmlaLink="'Кабельные вводы'!$K$17:$L$17" fmlaRange="'Кабельные вводы'!$M$13:$M$21" sel="9" val="0"/>
</file>

<file path=xl/ctrlProps/ctrlProp17.xml><?xml version="1.0" encoding="utf-8"?>
<formControlPr xmlns="http://schemas.microsoft.com/office/spreadsheetml/2009/9/main" objectType="Drop" dropLines="10" dropStyle="combo" dx="16" fmlaLink="'Кабельные вводы'!$K$18:$L$18" fmlaRange="'Кабельные вводы'!$M$13:$M$21" sel="9" val="0"/>
</file>

<file path=xl/ctrlProps/ctrlProp18.xml><?xml version="1.0" encoding="utf-8"?>
<formControlPr xmlns="http://schemas.microsoft.com/office/spreadsheetml/2009/9/main" objectType="Drop" dropLines="10" dropStyle="combo" dx="16" fmlaLink="'Кабельные вводы'!$K$19:$L$19" fmlaRange="'Кабельные вводы'!$M$13:$M$21" sel="9" val="0"/>
</file>

<file path=xl/ctrlProps/ctrlProp19.xml><?xml version="1.0" encoding="utf-8"?>
<formControlPr xmlns="http://schemas.microsoft.com/office/spreadsheetml/2009/9/main" objectType="Drop" dropLines="10" dropStyle="combo" dx="16" fmlaLink="'Кабельные вводы'!$K$20:$L$20" fmlaRange="'Кабельные вводы'!$M$13:$M$21" sel="9" val="0"/>
</file>

<file path=xl/ctrlProps/ctrlProp2.xml><?xml version="1.0" encoding="utf-8"?>
<formControlPr xmlns="http://schemas.microsoft.com/office/spreadsheetml/2009/9/main" objectType="Drop" dropLines="12" dropStyle="combo" dx="16" fmlaLink="Клеммы!$D$21" fmlaRange="Клеммы!$A$21:$A$32" sel="11" val="0"/>
</file>

<file path=xl/ctrlProps/ctrlProp20.xml><?xml version="1.0" encoding="utf-8"?>
<formControlPr xmlns="http://schemas.microsoft.com/office/spreadsheetml/2009/9/main" objectType="Drop" dropStyle="combo" dx="16" fmlaLink="'Кабельные вводы'!$N$14" fmlaRange="'Кабельные вводы'!$K$2:$N$8" sel="7" val="0"/>
</file>

<file path=xl/ctrlProps/ctrlProp21.xml><?xml version="1.0" encoding="utf-8"?>
<formControlPr xmlns="http://schemas.microsoft.com/office/spreadsheetml/2009/9/main" objectType="Drop" dropStyle="combo" dx="16" fmlaLink="'Кабельные вводы'!$N$15" fmlaRange="'Кабельные вводы'!$K$2:$N$8" sel="7" val="0"/>
</file>

<file path=xl/ctrlProps/ctrlProp22.xml><?xml version="1.0" encoding="utf-8"?>
<formControlPr xmlns="http://schemas.microsoft.com/office/spreadsheetml/2009/9/main" objectType="Drop" dropStyle="combo" dx="16" fmlaLink="'Кабельные вводы'!$N$16" fmlaRange="'Кабельные вводы'!$K$2:$N$8" sel="7" val="0"/>
</file>

<file path=xl/ctrlProps/ctrlProp23.xml><?xml version="1.0" encoding="utf-8"?>
<formControlPr xmlns="http://schemas.microsoft.com/office/spreadsheetml/2009/9/main" objectType="Drop" dropStyle="combo" dx="16" fmlaLink="'Кабельные вводы'!$N$17" fmlaRange="'Кабельные вводы'!$K$2:$N$8" sel="7" val="0"/>
</file>

<file path=xl/ctrlProps/ctrlProp24.xml><?xml version="1.0" encoding="utf-8"?>
<formControlPr xmlns="http://schemas.microsoft.com/office/spreadsheetml/2009/9/main" objectType="Drop" dropStyle="combo" dx="16" fmlaLink="'Кабельные вводы'!$N$18" fmlaRange="'Кабельные вводы'!$K$2:$N$8" sel="7" val="0"/>
</file>

<file path=xl/ctrlProps/ctrlProp25.xml><?xml version="1.0" encoding="utf-8"?>
<formControlPr xmlns="http://schemas.microsoft.com/office/spreadsheetml/2009/9/main" objectType="Drop" dropStyle="combo" dx="16" fmlaLink="'Кабельные вводы'!$N$19" fmlaRange="'Кабельные вводы'!$K$2:$N$8" sel="7" val="0"/>
</file>

<file path=xl/ctrlProps/ctrlProp26.xml><?xml version="1.0" encoding="utf-8"?>
<formControlPr xmlns="http://schemas.microsoft.com/office/spreadsheetml/2009/9/main" objectType="Drop" dropStyle="combo" dx="16" fmlaLink="'Кабельные вводы'!$N$20" fmlaRange="'Кабельные вводы'!$K$2:$N$8" sel="7" val="0"/>
</file>

<file path=xl/ctrlProps/ctrlProp27.xml><?xml version="1.0" encoding="utf-8"?>
<formControlPr xmlns="http://schemas.microsoft.com/office/spreadsheetml/2009/9/main" objectType="Drop" dropLines="12" dropStyle="combo" dx="16" fmlaLink="Клеммы!$B$21" fmlaRange="Клеммы!$A$21:$A$32" sel="11" val="0"/>
</file>

<file path=xl/ctrlProps/ctrlProp28.xml><?xml version="1.0" encoding="utf-8"?>
<formControlPr xmlns="http://schemas.microsoft.com/office/spreadsheetml/2009/9/main" objectType="Drop" dropLines="12" dropStyle="combo" dx="16" fmlaLink="Клеммы!$C$21" fmlaRange="Клеммы!$A$21:$A$32" sel="11" val="0"/>
</file>

<file path=xl/ctrlProps/ctrlProp29.xml><?xml version="1.0" encoding="utf-8"?>
<formControlPr xmlns="http://schemas.microsoft.com/office/spreadsheetml/2009/9/main" objectType="CheckBox" fmlaLink="Клеммы!$E$85" lockText="1" noThreeD="1"/>
</file>

<file path=xl/ctrlProps/ctrlProp3.xml><?xml version="1.0" encoding="utf-8"?>
<formControlPr xmlns="http://schemas.microsoft.com/office/spreadsheetml/2009/9/main" objectType="Drop" dropLines="12" dropStyle="combo" dx="16" fmlaLink="Клеммы!$E$21" fmlaRange="Клеммы!$A$21:$A$32" sel="11" val="0"/>
</file>

<file path=xl/ctrlProps/ctrlProp30.xml><?xml version="1.0" encoding="utf-8"?>
<formControlPr xmlns="http://schemas.microsoft.com/office/spreadsheetml/2009/9/main" objectType="CheckBox" fmlaLink="Клеммы!$E$86" lockText="1" noThreeD="1"/>
</file>

<file path=xl/ctrlProps/ctrlProp31.xml><?xml version="1.0" encoding="utf-8"?>
<formControlPr xmlns="http://schemas.microsoft.com/office/spreadsheetml/2009/9/main" objectType="CheckBox" fmlaLink="Клеммы!$E$87" lockText="1" noThreeD="1"/>
</file>

<file path=xl/ctrlProps/ctrlProp32.xml><?xml version="1.0" encoding="utf-8"?>
<formControlPr xmlns="http://schemas.microsoft.com/office/spreadsheetml/2009/9/main" objectType="CheckBox" fmlaLink="Клеммы!$E$88" lockText="1" noThreeD="1"/>
</file>

<file path=xl/ctrlProps/ctrlProp4.xml><?xml version="1.0" encoding="utf-8"?>
<formControlPr xmlns="http://schemas.microsoft.com/office/spreadsheetml/2009/9/main" objectType="Drop" dropLines="12" dropStyle="combo" dx="16" fmlaLink="Клеммы!$F$21" fmlaRange="Клеммы!$A$21:$A$32" sel="11" val="0"/>
</file>

<file path=xl/ctrlProps/ctrlProp5.xml><?xml version="1.0" encoding="utf-8"?>
<formControlPr xmlns="http://schemas.microsoft.com/office/spreadsheetml/2009/9/main" objectType="Drop" dropLines="12" dropStyle="combo" dx="16" fmlaLink="Клеммы!$G$21" fmlaRange="Клеммы!$A$21:$A$32" sel="11" val="0"/>
</file>

<file path=xl/ctrlProps/ctrlProp6.xml><?xml version="1.0" encoding="utf-8"?>
<formControlPr xmlns="http://schemas.microsoft.com/office/spreadsheetml/2009/9/main" objectType="Drop" dropLines="12" dropStyle="combo" dx="16" fmlaLink="Клеммы!$H$21" fmlaRange="Клеммы!$A$21:$A$32" sel="11" val="0"/>
</file>

<file path=xl/ctrlProps/ctrlProp7.xml><?xml version="1.0" encoding="utf-8"?>
<formControlPr xmlns="http://schemas.microsoft.com/office/spreadsheetml/2009/9/main" objectType="Drop" dropLines="12" dropStyle="combo" dx="16" fmlaLink="Клеммы!$I$21" fmlaRange="Клеммы!$A$21:$A$32" sel="11" val="0"/>
</file>

<file path=xl/ctrlProps/ctrlProp8.xml><?xml version="1.0" encoding="utf-8"?>
<formControlPr xmlns="http://schemas.microsoft.com/office/spreadsheetml/2009/9/main" objectType="Drop" dropLines="12" dropStyle="combo" dx="16" fmlaLink="Клеммы!$J$21" fmlaRange="Клеммы!$A$21:$A$32" sel="11" val="0"/>
</file>

<file path=xl/ctrlProps/ctrlProp9.xml><?xml version="1.0" encoding="utf-8"?>
<formControlPr xmlns="http://schemas.microsoft.com/office/spreadsheetml/2009/9/main" objectType="Drop" dropLines="12" dropStyle="combo" dx="16" fmlaLink="Клеммы!$K$21" fmlaRange="Клеммы!$A$21:$A$32" sel="1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3</xdr:col>
          <xdr:colOff>523875</xdr:colOff>
          <xdr:row>10</xdr:row>
          <xdr:rowOff>219075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3</xdr:col>
          <xdr:colOff>523875</xdr:colOff>
          <xdr:row>21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3</xdr:col>
          <xdr:colOff>523875</xdr:colOff>
          <xdr:row>21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3</xdr:col>
          <xdr:colOff>523875</xdr:colOff>
          <xdr:row>22</xdr:row>
          <xdr:rowOff>200025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3</xdr:col>
          <xdr:colOff>523875</xdr:colOff>
          <xdr:row>23</xdr:row>
          <xdr:rowOff>200025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523875</xdr:colOff>
          <xdr:row>24</xdr:row>
          <xdr:rowOff>200025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3</xdr:col>
          <xdr:colOff>523875</xdr:colOff>
          <xdr:row>25</xdr:row>
          <xdr:rowOff>200025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3</xdr:col>
          <xdr:colOff>523875</xdr:colOff>
          <xdr:row>26</xdr:row>
          <xdr:rowOff>200025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3</xdr:col>
          <xdr:colOff>523875</xdr:colOff>
          <xdr:row>27</xdr:row>
          <xdr:rowOff>200025</xdr:rowOff>
        </xdr:to>
        <xdr:sp macro="" textlink="">
          <xdr:nvSpPr>
            <xdr:cNvPr id="2083" name="Drop Dow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10</xdr:col>
          <xdr:colOff>1057275</xdr:colOff>
          <xdr:row>24</xdr:row>
          <xdr:rowOff>0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3</xdr:col>
          <xdr:colOff>514350</xdr:colOff>
          <xdr:row>50</xdr:row>
          <xdr:rowOff>219075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19050</xdr:rowOff>
        </xdr:from>
        <xdr:to>
          <xdr:col>11</xdr:col>
          <xdr:colOff>361950</xdr:colOff>
          <xdr:row>50</xdr:row>
          <xdr:rowOff>209550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9525</xdr:rowOff>
        </xdr:from>
        <xdr:to>
          <xdr:col>3</xdr:col>
          <xdr:colOff>514350</xdr:colOff>
          <xdr:row>51</xdr:row>
          <xdr:rowOff>219075</xdr:rowOff>
        </xdr:to>
        <xdr:sp macro="" textlink="">
          <xdr:nvSpPr>
            <xdr:cNvPr id="2134" name="Drop Dow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9525</xdr:rowOff>
        </xdr:from>
        <xdr:to>
          <xdr:col>3</xdr:col>
          <xdr:colOff>514350</xdr:colOff>
          <xdr:row>52</xdr:row>
          <xdr:rowOff>219075</xdr:rowOff>
        </xdr:to>
        <xdr:sp macro="" textlink="">
          <xdr:nvSpPr>
            <xdr:cNvPr id="2137" name="Drop Dow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9525</xdr:rowOff>
        </xdr:from>
        <xdr:to>
          <xdr:col>3</xdr:col>
          <xdr:colOff>514350</xdr:colOff>
          <xdr:row>53</xdr:row>
          <xdr:rowOff>219075</xdr:rowOff>
        </xdr:to>
        <xdr:sp macro="" textlink="">
          <xdr:nvSpPr>
            <xdr:cNvPr id="2140" name="Drop Dow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9525</xdr:rowOff>
        </xdr:from>
        <xdr:to>
          <xdr:col>3</xdr:col>
          <xdr:colOff>514350</xdr:colOff>
          <xdr:row>54</xdr:row>
          <xdr:rowOff>219075</xdr:rowOff>
        </xdr:to>
        <xdr:sp macro="" textlink="">
          <xdr:nvSpPr>
            <xdr:cNvPr id="2143" name="Drop Dow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9525</xdr:rowOff>
        </xdr:from>
        <xdr:to>
          <xdr:col>3</xdr:col>
          <xdr:colOff>514350</xdr:colOff>
          <xdr:row>55</xdr:row>
          <xdr:rowOff>219075</xdr:rowOff>
        </xdr:to>
        <xdr:sp macro="" textlink="">
          <xdr:nvSpPr>
            <xdr:cNvPr id="2146" name="Drop Dow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56</xdr:row>
          <xdr:rowOff>9525</xdr:rowOff>
        </xdr:from>
        <xdr:to>
          <xdr:col>3</xdr:col>
          <xdr:colOff>514350</xdr:colOff>
          <xdr:row>56</xdr:row>
          <xdr:rowOff>219075</xdr:rowOff>
        </xdr:to>
        <xdr:sp macro="" textlink="">
          <xdr:nvSpPr>
            <xdr:cNvPr id="2149" name="Drop Dow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9525</xdr:rowOff>
        </xdr:from>
        <xdr:to>
          <xdr:col>3</xdr:col>
          <xdr:colOff>514350</xdr:colOff>
          <xdr:row>57</xdr:row>
          <xdr:rowOff>219075</xdr:rowOff>
        </xdr:to>
        <xdr:sp macro="" textlink="">
          <xdr:nvSpPr>
            <xdr:cNvPr id="2152" name="Drop Dow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11</xdr:col>
          <xdr:colOff>361950</xdr:colOff>
          <xdr:row>51</xdr:row>
          <xdr:rowOff>209550</xdr:rowOff>
        </xdr:to>
        <xdr:sp macro="" textlink="">
          <xdr:nvSpPr>
            <xdr:cNvPr id="2156" name="Drop Dow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11</xdr:col>
          <xdr:colOff>361950</xdr:colOff>
          <xdr:row>52</xdr:row>
          <xdr:rowOff>209550</xdr:rowOff>
        </xdr:to>
        <xdr:sp macro="" textlink="">
          <xdr:nvSpPr>
            <xdr:cNvPr id="2159" name="Drop Dow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11</xdr:col>
          <xdr:colOff>361950</xdr:colOff>
          <xdr:row>53</xdr:row>
          <xdr:rowOff>209550</xdr:rowOff>
        </xdr:to>
        <xdr:sp macro="" textlink="">
          <xdr:nvSpPr>
            <xdr:cNvPr id="2162" name="Drop Dow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11</xdr:col>
          <xdr:colOff>361950</xdr:colOff>
          <xdr:row>54</xdr:row>
          <xdr:rowOff>209550</xdr:rowOff>
        </xdr:to>
        <xdr:sp macro="" textlink="">
          <xdr:nvSpPr>
            <xdr:cNvPr id="2165" name="Drop Dow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19050</xdr:rowOff>
        </xdr:from>
        <xdr:to>
          <xdr:col>11</xdr:col>
          <xdr:colOff>361950</xdr:colOff>
          <xdr:row>55</xdr:row>
          <xdr:rowOff>209550</xdr:rowOff>
        </xdr:to>
        <xdr:sp macro="" textlink="">
          <xdr:nvSpPr>
            <xdr:cNvPr id="2168" name="Drop Dow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19050</xdr:rowOff>
        </xdr:from>
        <xdr:to>
          <xdr:col>11</xdr:col>
          <xdr:colOff>361950</xdr:colOff>
          <xdr:row>56</xdr:row>
          <xdr:rowOff>209550</xdr:rowOff>
        </xdr:to>
        <xdr:sp macro="" textlink="">
          <xdr:nvSpPr>
            <xdr:cNvPr id="2171" name="Drop Dow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19050</xdr:rowOff>
        </xdr:from>
        <xdr:to>
          <xdr:col>11</xdr:col>
          <xdr:colOff>361950</xdr:colOff>
          <xdr:row>57</xdr:row>
          <xdr:rowOff>209550</xdr:rowOff>
        </xdr:to>
        <xdr:sp macro="" textlink="">
          <xdr:nvSpPr>
            <xdr:cNvPr id="2177" name="Drop Down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3</xdr:col>
          <xdr:colOff>523875</xdr:colOff>
          <xdr:row>19</xdr:row>
          <xdr:rowOff>0</xdr:rowOff>
        </xdr:to>
        <xdr:sp macro="" textlink="">
          <xdr:nvSpPr>
            <xdr:cNvPr id="2178" name="Drop Down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9525</xdr:rowOff>
        </xdr:from>
        <xdr:to>
          <xdr:col>3</xdr:col>
          <xdr:colOff>523875</xdr:colOff>
          <xdr:row>20</xdr:row>
          <xdr:rowOff>0</xdr:rowOff>
        </xdr:to>
        <xdr:sp macro="" textlink="">
          <xdr:nvSpPr>
            <xdr:cNvPr id="2180" name="Drop Down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85725</xdr:rowOff>
        </xdr:from>
        <xdr:to>
          <xdr:col>0</xdr:col>
          <xdr:colOff>276225</xdr:colOff>
          <xdr:row>45</xdr:row>
          <xdr:rowOff>66675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0</xdr:rowOff>
        </xdr:from>
        <xdr:to>
          <xdr:col>0</xdr:col>
          <xdr:colOff>276225</xdr:colOff>
          <xdr:row>45</xdr:row>
          <xdr:rowOff>209550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104775</xdr:rowOff>
        </xdr:from>
        <xdr:to>
          <xdr:col>0</xdr:col>
          <xdr:colOff>266700</xdr:colOff>
          <xdr:row>47</xdr:row>
          <xdr:rowOff>85725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47</xdr:row>
          <xdr:rowOff>19050</xdr:rowOff>
        </xdr:from>
        <xdr:to>
          <xdr:col>0</xdr:col>
          <xdr:colOff>266700</xdr:colOff>
          <xdr:row>48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E121"/>
  <sheetViews>
    <sheetView tabSelected="1" zoomScaleNormal="100" workbookViewId="0">
      <selection activeCell="K19" sqref="K19:K28"/>
    </sheetView>
  </sheetViews>
  <sheetFormatPr defaultRowHeight="15" x14ac:dyDescent="0.25"/>
  <cols>
    <col min="1" max="1" width="21.140625" customWidth="1"/>
    <col min="2" max="2" width="10.28515625" customWidth="1"/>
    <col min="3" max="3" width="11.28515625" customWidth="1"/>
    <col min="4" max="4" width="8.140625" customWidth="1"/>
    <col min="6" max="6" width="11" customWidth="1"/>
    <col min="7" max="7" width="7.140625" customWidth="1"/>
    <col min="10" max="10" width="4" customWidth="1"/>
    <col min="11" max="11" width="16.140625" customWidth="1"/>
    <col min="12" max="12" width="5.85546875" customWidth="1"/>
    <col min="13" max="13" width="11.140625" customWidth="1"/>
    <col min="15" max="15" width="8.85546875" customWidth="1"/>
    <col min="17" max="17" width="9.140625" customWidth="1"/>
    <col min="19" max="19" width="6.28515625" customWidth="1"/>
    <col min="20" max="20" width="6.85546875" customWidth="1"/>
    <col min="21" max="21" width="5.42578125" customWidth="1"/>
  </cols>
  <sheetData>
    <row r="1" spans="1:29" ht="15.75" x14ac:dyDescent="0.25">
      <c r="A1" s="320" t="s">
        <v>25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 x14ac:dyDescent="0.25">
      <c r="A2" s="342" t="s">
        <v>207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8" customHeight="1" x14ac:dyDescent="0.2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customHeight="1" x14ac:dyDescent="0.25">
      <c r="A4" s="343" t="s">
        <v>167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 thickBot="1" x14ac:dyDescent="0.3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customHeight="1" x14ac:dyDescent="0.25">
      <c r="A6" s="172" t="s">
        <v>109</v>
      </c>
      <c r="B6" s="286" t="s">
        <v>26</v>
      </c>
      <c r="C6" s="287"/>
      <c r="D6" s="287"/>
      <c r="E6" s="287"/>
      <c r="F6" s="287"/>
      <c r="G6" s="287"/>
      <c r="H6" s="315"/>
      <c r="I6" s="222" t="s">
        <v>108</v>
      </c>
      <c r="J6" s="256"/>
      <c r="K6" s="256"/>
      <c r="L6" s="222" t="s">
        <v>110</v>
      </c>
      <c r="M6" s="257"/>
      <c r="N6" s="222" t="s">
        <v>111</v>
      </c>
      <c r="O6" s="256"/>
      <c r="P6" s="257"/>
      <c r="Q6" s="256" t="s">
        <v>112</v>
      </c>
      <c r="R6" s="256"/>
      <c r="S6" s="257"/>
      <c r="T6" s="8"/>
      <c r="U6" s="8"/>
      <c r="V6" s="8"/>
      <c r="W6" s="8"/>
      <c r="X6" s="8"/>
      <c r="Y6" s="8"/>
      <c r="Z6" s="7"/>
      <c r="AA6" s="7"/>
      <c r="AB6" s="7"/>
      <c r="AC6" s="7"/>
    </row>
    <row r="7" spans="1:29" ht="33.75" customHeight="1" thickBot="1" x14ac:dyDescent="0.3">
      <c r="A7" s="173"/>
      <c r="B7" s="290"/>
      <c r="C7" s="291"/>
      <c r="D7" s="291"/>
      <c r="E7" s="291"/>
      <c r="F7" s="291"/>
      <c r="G7" s="291"/>
      <c r="H7" s="316"/>
      <c r="I7" s="223"/>
      <c r="J7" s="258"/>
      <c r="K7" s="258"/>
      <c r="L7" s="267"/>
      <c r="M7" s="268"/>
      <c r="N7" s="223"/>
      <c r="O7" s="258"/>
      <c r="P7" s="259"/>
      <c r="Q7" s="258"/>
      <c r="R7" s="258"/>
      <c r="S7" s="259"/>
      <c r="T7" s="9"/>
      <c r="U7" s="7"/>
      <c r="V7" s="7"/>
      <c r="W7" s="7"/>
      <c r="X7" s="9"/>
      <c r="Y7" s="8"/>
      <c r="Z7" s="7"/>
      <c r="AA7" s="7"/>
      <c r="AB7" s="7"/>
      <c r="AC7" s="7"/>
    </row>
    <row r="8" spans="1:29" ht="18" customHeight="1" x14ac:dyDescent="0.25">
      <c r="A8" s="339" t="str">
        <f>Габариты!N4</f>
        <v>ЦКЛГ.685631.000</v>
      </c>
      <c r="B8" s="186" t="s">
        <v>33</v>
      </c>
      <c r="C8" s="187"/>
      <c r="D8" s="188"/>
      <c r="E8" s="186" t="s">
        <v>34</v>
      </c>
      <c r="F8" s="187"/>
      <c r="G8" s="187"/>
      <c r="H8" s="312" t="s">
        <v>35</v>
      </c>
      <c r="I8" s="286" t="str">
        <f>Габариты!K4</f>
        <v>ККВ - 1</v>
      </c>
      <c r="J8" s="287"/>
      <c r="K8" s="287"/>
      <c r="L8" s="330" t="str">
        <f>Габариты!D27</f>
        <v>КВУ-05</v>
      </c>
      <c r="M8" s="331"/>
      <c r="N8" s="186" t="str">
        <f>Габариты!G27</f>
        <v>4/3/4/3</v>
      </c>
      <c r="O8" s="187"/>
      <c r="P8" s="188"/>
      <c r="Q8" s="186" t="str">
        <f>Габариты!J27</f>
        <v>DIN-рейка типа NS-35/7,5</v>
      </c>
      <c r="R8" s="187"/>
      <c r="S8" s="188"/>
      <c r="T8" s="9"/>
      <c r="U8" s="7"/>
      <c r="V8" s="7"/>
      <c r="W8" s="7"/>
      <c r="X8" s="9"/>
      <c r="Y8" s="8"/>
      <c r="Z8" s="7"/>
      <c r="AA8" s="7"/>
      <c r="AB8" s="7"/>
      <c r="AC8" s="7"/>
    </row>
    <row r="9" spans="1:29" ht="18" customHeight="1" x14ac:dyDescent="0.25">
      <c r="A9" s="340"/>
      <c r="B9" s="336"/>
      <c r="C9" s="337"/>
      <c r="D9" s="338"/>
      <c r="E9" s="336"/>
      <c r="F9" s="337"/>
      <c r="G9" s="337"/>
      <c r="H9" s="313"/>
      <c r="I9" s="288"/>
      <c r="J9" s="289"/>
      <c r="K9" s="289"/>
      <c r="L9" s="332"/>
      <c r="M9" s="333"/>
      <c r="N9" s="336"/>
      <c r="O9" s="337"/>
      <c r="P9" s="338"/>
      <c r="Q9" s="336"/>
      <c r="R9" s="337"/>
      <c r="S9" s="338"/>
      <c r="T9" s="7"/>
      <c r="U9" s="7"/>
      <c r="V9" s="9"/>
      <c r="W9" s="9"/>
      <c r="X9" s="9"/>
      <c r="Y9" s="8"/>
      <c r="Z9" s="7"/>
      <c r="AA9" s="7"/>
      <c r="AB9" s="7"/>
      <c r="AC9" s="7"/>
    </row>
    <row r="10" spans="1:29" ht="15.75" thickBot="1" x14ac:dyDescent="0.3">
      <c r="A10" s="340"/>
      <c r="B10" s="189"/>
      <c r="C10" s="190"/>
      <c r="D10" s="191"/>
      <c r="E10" s="189"/>
      <c r="F10" s="190"/>
      <c r="G10" s="190"/>
      <c r="H10" s="314"/>
      <c r="I10" s="288"/>
      <c r="J10" s="289"/>
      <c r="K10" s="289"/>
      <c r="L10" s="332"/>
      <c r="M10" s="333"/>
      <c r="N10" s="336"/>
      <c r="O10" s="337"/>
      <c r="P10" s="338"/>
      <c r="Q10" s="336"/>
      <c r="R10" s="337"/>
      <c r="S10" s="338"/>
      <c r="T10" s="7"/>
      <c r="U10" s="7"/>
      <c r="V10" s="8"/>
      <c r="W10" s="8"/>
      <c r="X10" s="8"/>
      <c r="Y10" s="8"/>
      <c r="Z10" s="7"/>
      <c r="AA10" s="7"/>
      <c r="AB10" s="7"/>
      <c r="AC10" s="7"/>
    </row>
    <row r="11" spans="1:29" ht="18.75" thickBot="1" x14ac:dyDescent="0.3">
      <c r="A11" s="341"/>
      <c r="B11" s="170"/>
      <c r="C11" s="255"/>
      <c r="D11" s="171"/>
      <c r="E11" s="292" t="str">
        <f>Габариты!J13</f>
        <v>350х350х102</v>
      </c>
      <c r="F11" s="293"/>
      <c r="G11" s="294"/>
      <c r="H11" s="163">
        <f>Габариты!I4</f>
        <v>2.5</v>
      </c>
      <c r="I11" s="290"/>
      <c r="J11" s="291"/>
      <c r="K11" s="291"/>
      <c r="L11" s="334"/>
      <c r="M11" s="335"/>
      <c r="N11" s="189"/>
      <c r="O11" s="190"/>
      <c r="P11" s="191"/>
      <c r="Q11" s="189"/>
      <c r="R11" s="190"/>
      <c r="S11" s="191"/>
      <c r="T11" s="10"/>
      <c r="U11" s="10"/>
      <c r="V11" s="7"/>
      <c r="W11" s="7"/>
      <c r="X11" s="7"/>
      <c r="Y11" s="7"/>
      <c r="Z11" s="7"/>
      <c r="AA11" s="7"/>
      <c r="AB11" s="7"/>
      <c r="AC11" s="7"/>
    </row>
    <row r="12" spans="1:29" ht="18" customHeight="1" x14ac:dyDescent="0.25">
      <c r="A12" s="201" t="s">
        <v>183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10"/>
      <c r="U12" s="10"/>
      <c r="V12" s="7"/>
      <c r="W12" s="7"/>
      <c r="X12" s="7"/>
      <c r="Y12" s="7"/>
      <c r="Z12" s="7"/>
      <c r="AA12" s="7"/>
      <c r="AB12" s="7"/>
      <c r="AC12" s="7"/>
    </row>
    <row r="13" spans="1:29" ht="18" customHeight="1" x14ac:dyDescent="0.2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10"/>
      <c r="U13" s="10"/>
      <c r="V13" s="7"/>
      <c r="W13" s="7"/>
      <c r="X13" s="7"/>
      <c r="Y13" s="7"/>
      <c r="Z13" s="7"/>
      <c r="AA13" s="7"/>
      <c r="AB13" s="7"/>
      <c r="AC13" s="7"/>
    </row>
    <row r="14" spans="1:29" ht="18" customHeight="1" thickBot="1" x14ac:dyDescent="0.3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10"/>
      <c r="U14" s="10"/>
      <c r="V14" s="7"/>
      <c r="W14" s="7"/>
      <c r="X14" s="7"/>
      <c r="Y14" s="7"/>
      <c r="Z14" s="7"/>
      <c r="AA14" s="7"/>
      <c r="AB14" s="7"/>
      <c r="AC14" s="7"/>
    </row>
    <row r="15" spans="1:29" ht="12" customHeight="1" x14ac:dyDescent="0.25">
      <c r="A15" s="172" t="s">
        <v>192</v>
      </c>
      <c r="B15" s="295" t="s">
        <v>73</v>
      </c>
      <c r="C15" s="296"/>
      <c r="D15" s="296"/>
      <c r="E15" s="296"/>
      <c r="F15" s="296"/>
      <c r="G15" s="296"/>
      <c r="H15" s="296"/>
      <c r="I15" s="296"/>
      <c r="J15" s="296"/>
      <c r="K15" s="172" t="s">
        <v>79</v>
      </c>
      <c r="L15" s="222" t="s">
        <v>78</v>
      </c>
      <c r="M15" s="257"/>
      <c r="N15" s="222" t="s">
        <v>57</v>
      </c>
      <c r="O15" s="257"/>
      <c r="P15" s="222" t="s">
        <v>36</v>
      </c>
      <c r="Q15" s="257"/>
      <c r="R15" s="222" t="s">
        <v>60</v>
      </c>
      <c r="S15" s="257"/>
      <c r="T15" s="11"/>
      <c r="U15" s="11"/>
      <c r="V15" s="11"/>
      <c r="W15" s="8"/>
      <c r="X15" s="7"/>
      <c r="Y15" s="7"/>
      <c r="Z15" s="7"/>
      <c r="AA15" s="7"/>
      <c r="AB15" s="7"/>
      <c r="AC15" s="7"/>
    </row>
    <row r="16" spans="1:29" ht="18" customHeight="1" x14ac:dyDescent="0.25">
      <c r="A16" s="273"/>
      <c r="B16" s="297"/>
      <c r="C16" s="298"/>
      <c r="D16" s="298"/>
      <c r="E16" s="298"/>
      <c r="F16" s="298"/>
      <c r="G16" s="298"/>
      <c r="H16" s="298"/>
      <c r="I16" s="298"/>
      <c r="J16" s="298"/>
      <c r="K16" s="273"/>
      <c r="L16" s="267"/>
      <c r="M16" s="268"/>
      <c r="N16" s="267"/>
      <c r="O16" s="268"/>
      <c r="P16" s="267"/>
      <c r="Q16" s="268"/>
      <c r="R16" s="267"/>
      <c r="S16" s="268"/>
      <c r="T16" s="11"/>
      <c r="U16" s="11"/>
      <c r="V16" s="11"/>
      <c r="W16" s="11"/>
      <c r="X16" s="7"/>
      <c r="Y16" s="7"/>
      <c r="Z16" s="7"/>
      <c r="AA16" s="7"/>
      <c r="AB16" s="7"/>
      <c r="AC16" s="7"/>
    </row>
    <row r="17" spans="1:31" ht="21" customHeight="1" thickBot="1" x14ac:dyDescent="0.3">
      <c r="A17" s="273"/>
      <c r="B17" s="299"/>
      <c r="C17" s="300"/>
      <c r="D17" s="300"/>
      <c r="E17" s="300"/>
      <c r="F17" s="300"/>
      <c r="G17" s="300"/>
      <c r="H17" s="300"/>
      <c r="I17" s="300"/>
      <c r="J17" s="300"/>
      <c r="K17" s="273"/>
      <c r="L17" s="267"/>
      <c r="M17" s="268"/>
      <c r="N17" s="267"/>
      <c r="O17" s="268"/>
      <c r="P17" s="267"/>
      <c r="Q17" s="268"/>
      <c r="R17" s="267"/>
      <c r="S17" s="268"/>
      <c r="T17" s="11"/>
      <c r="U17" s="11"/>
      <c r="V17" s="11"/>
      <c r="W17" s="11"/>
      <c r="X17" s="7"/>
      <c r="Y17" s="7"/>
      <c r="Z17" s="7"/>
      <c r="AA17" s="7"/>
      <c r="AB17" s="7"/>
      <c r="AC17" s="7"/>
    </row>
    <row r="18" spans="1:31" ht="18" customHeight="1" thickBot="1" x14ac:dyDescent="0.3">
      <c r="A18" s="273"/>
      <c r="B18" s="301" t="s">
        <v>74</v>
      </c>
      <c r="C18" s="302"/>
      <c r="D18" s="303"/>
      <c r="E18" s="306" t="s">
        <v>59</v>
      </c>
      <c r="F18" s="307"/>
      <c r="G18" s="308"/>
      <c r="H18" s="301" t="s">
        <v>205</v>
      </c>
      <c r="I18" s="302"/>
      <c r="J18" s="303"/>
      <c r="K18" s="273"/>
      <c r="L18" s="267"/>
      <c r="M18" s="268"/>
      <c r="N18" s="267"/>
      <c r="O18" s="268"/>
      <c r="P18" s="267"/>
      <c r="Q18" s="268"/>
      <c r="R18" s="267"/>
      <c r="S18" s="268"/>
      <c r="T18" s="11"/>
      <c r="U18" s="11"/>
      <c r="V18" s="11"/>
      <c r="W18" s="8"/>
      <c r="X18" s="7"/>
      <c r="Y18" s="7"/>
      <c r="Z18" s="7"/>
      <c r="AA18" s="7"/>
      <c r="AB18" s="7"/>
      <c r="AC18" s="7"/>
    </row>
    <row r="19" spans="1:31" ht="16.5" customHeight="1" thickBot="1" x14ac:dyDescent="0.3">
      <c r="A19" s="138">
        <v>1</v>
      </c>
      <c r="B19" s="276"/>
      <c r="C19" s="277"/>
      <c r="D19" s="278"/>
      <c r="E19" s="170" t="str">
        <f>Клеммы!A53</f>
        <v>-</v>
      </c>
      <c r="F19" s="255"/>
      <c r="G19" s="171"/>
      <c r="H19" s="304"/>
      <c r="I19" s="304"/>
      <c r="J19" s="305"/>
      <c r="K19" s="282"/>
      <c r="L19" s="309" t="str">
        <f>Клеммы!J53</f>
        <v>-</v>
      </c>
      <c r="M19" s="310"/>
      <c r="N19" s="309" t="str">
        <f>Клеммы!K53</f>
        <v>-</v>
      </c>
      <c r="O19" s="310"/>
      <c r="P19" s="309" t="str">
        <f>Клеммы!L53</f>
        <v>-</v>
      </c>
      <c r="Q19" s="310"/>
      <c r="R19" s="309" t="str">
        <f>Клеммы!M53</f>
        <v>-</v>
      </c>
      <c r="S19" s="311"/>
      <c r="T19" s="6"/>
      <c r="U19" s="6"/>
      <c r="V19" s="6"/>
      <c r="W19" s="12"/>
      <c r="X19" s="13"/>
      <c r="Y19" s="13"/>
      <c r="Z19" s="13"/>
      <c r="AA19" s="13"/>
      <c r="AB19" s="13"/>
      <c r="AC19" s="13"/>
      <c r="AD19" s="3"/>
      <c r="AE19" s="3"/>
    </row>
    <row r="20" spans="1:31" ht="16.5" thickBot="1" x14ac:dyDescent="0.3">
      <c r="A20" s="139">
        <v>2</v>
      </c>
      <c r="B20" s="279"/>
      <c r="C20" s="280"/>
      <c r="D20" s="281"/>
      <c r="E20" s="170" t="str">
        <f>Клеммы!A54</f>
        <v>-</v>
      </c>
      <c r="F20" s="255"/>
      <c r="G20" s="171"/>
      <c r="H20" s="274"/>
      <c r="I20" s="274"/>
      <c r="J20" s="275"/>
      <c r="K20" s="283"/>
      <c r="L20" s="264" t="str">
        <f>Клеммы!J54</f>
        <v>-</v>
      </c>
      <c r="M20" s="266"/>
      <c r="N20" s="264" t="str">
        <f>Клеммы!K54</f>
        <v>-</v>
      </c>
      <c r="O20" s="266"/>
      <c r="P20" s="264" t="str">
        <f>Клеммы!L54</f>
        <v>-</v>
      </c>
      <c r="Q20" s="266"/>
      <c r="R20" s="264" t="str">
        <f>Клеммы!M54</f>
        <v>-</v>
      </c>
      <c r="S20" s="265"/>
      <c r="T20" s="6"/>
      <c r="U20" s="6"/>
      <c r="V20" s="6"/>
      <c r="W20" s="12"/>
      <c r="X20" s="13"/>
      <c r="Y20" s="13"/>
      <c r="Z20" s="13"/>
      <c r="AA20" s="13"/>
      <c r="AB20" s="13"/>
      <c r="AC20" s="13"/>
      <c r="AD20" s="3"/>
      <c r="AE20" s="3"/>
    </row>
    <row r="21" spans="1:31" ht="16.5" customHeight="1" thickBot="1" x14ac:dyDescent="0.3">
      <c r="A21" s="139">
        <v>3</v>
      </c>
      <c r="B21" s="279"/>
      <c r="C21" s="280"/>
      <c r="D21" s="281"/>
      <c r="E21" s="170" t="str">
        <f>Клеммы!A55</f>
        <v>-</v>
      </c>
      <c r="F21" s="255"/>
      <c r="G21" s="171"/>
      <c r="H21" s="274"/>
      <c r="I21" s="274"/>
      <c r="J21" s="275"/>
      <c r="K21" s="283"/>
      <c r="L21" s="264" t="str">
        <f>Клеммы!J55</f>
        <v>-</v>
      </c>
      <c r="M21" s="266"/>
      <c r="N21" s="264" t="str">
        <f>Клеммы!K55</f>
        <v>-</v>
      </c>
      <c r="O21" s="266"/>
      <c r="P21" s="264" t="str">
        <f>Клеммы!L55</f>
        <v>-</v>
      </c>
      <c r="Q21" s="266"/>
      <c r="R21" s="264" t="str">
        <f>Клеммы!M55</f>
        <v>-</v>
      </c>
      <c r="S21" s="265"/>
      <c r="T21" s="6"/>
      <c r="U21" s="6"/>
      <c r="V21" s="6"/>
      <c r="W21" s="14"/>
      <c r="X21" s="7"/>
      <c r="Y21" s="7"/>
      <c r="Z21" s="7"/>
      <c r="AA21" s="7"/>
      <c r="AB21" s="7"/>
      <c r="AC21" s="7"/>
    </row>
    <row r="22" spans="1:31" ht="16.5" thickBot="1" x14ac:dyDescent="0.3">
      <c r="A22" s="139">
        <v>4</v>
      </c>
      <c r="B22" s="279"/>
      <c r="C22" s="280"/>
      <c r="D22" s="281"/>
      <c r="E22" s="170" t="str">
        <f>Клеммы!A56</f>
        <v>-</v>
      </c>
      <c r="F22" s="255"/>
      <c r="G22" s="171"/>
      <c r="H22" s="274"/>
      <c r="I22" s="274"/>
      <c r="J22" s="275"/>
      <c r="K22" s="283"/>
      <c r="L22" s="264" t="str">
        <f>Клеммы!J56</f>
        <v>-</v>
      </c>
      <c r="M22" s="266"/>
      <c r="N22" s="264" t="str">
        <f>Клеммы!K56</f>
        <v>-</v>
      </c>
      <c r="O22" s="266"/>
      <c r="P22" s="264" t="str">
        <f>Клеммы!L56</f>
        <v>-</v>
      </c>
      <c r="Q22" s="266"/>
      <c r="R22" s="264" t="str">
        <f>Клеммы!M56</f>
        <v>-</v>
      </c>
      <c r="S22" s="265"/>
      <c r="T22" s="6"/>
      <c r="U22" s="7"/>
      <c r="V22" s="7"/>
      <c r="W22" s="7"/>
      <c r="X22" s="7"/>
      <c r="Y22" s="7"/>
      <c r="Z22" s="7"/>
      <c r="AA22" s="7"/>
      <c r="AB22" s="7"/>
      <c r="AC22" s="7"/>
    </row>
    <row r="23" spans="1:31" ht="16.5" thickBot="1" x14ac:dyDescent="0.3">
      <c r="A23" s="139">
        <v>5</v>
      </c>
      <c r="B23" s="279"/>
      <c r="C23" s="280"/>
      <c r="D23" s="281"/>
      <c r="E23" s="170" t="str">
        <f>Клеммы!A57</f>
        <v>-</v>
      </c>
      <c r="F23" s="255"/>
      <c r="G23" s="171"/>
      <c r="H23" s="274"/>
      <c r="I23" s="274"/>
      <c r="J23" s="275"/>
      <c r="K23" s="283"/>
      <c r="L23" s="264" t="str">
        <f>Клеммы!J57</f>
        <v>-</v>
      </c>
      <c r="M23" s="266"/>
      <c r="N23" s="264" t="str">
        <f>Клеммы!K57</f>
        <v>-</v>
      </c>
      <c r="O23" s="266"/>
      <c r="P23" s="264" t="str">
        <f>Клеммы!L57</f>
        <v>-</v>
      </c>
      <c r="Q23" s="266"/>
      <c r="R23" s="264" t="str">
        <f>Клеммы!M57</f>
        <v>-</v>
      </c>
      <c r="S23" s="265"/>
      <c r="T23" s="6"/>
      <c r="U23" s="7"/>
      <c r="V23" s="7"/>
      <c r="W23" s="7"/>
      <c r="X23" s="7"/>
      <c r="Y23" s="7"/>
      <c r="Z23" s="7"/>
      <c r="AA23" s="7"/>
      <c r="AB23" s="7"/>
      <c r="AC23" s="7"/>
    </row>
    <row r="24" spans="1:31" ht="16.5" thickBot="1" x14ac:dyDescent="0.3">
      <c r="A24" s="139">
        <v>6</v>
      </c>
      <c r="B24" s="279"/>
      <c r="C24" s="280"/>
      <c r="D24" s="281"/>
      <c r="E24" s="170" t="str">
        <f>Клеммы!A58</f>
        <v>-</v>
      </c>
      <c r="F24" s="255"/>
      <c r="G24" s="171"/>
      <c r="H24" s="274"/>
      <c r="I24" s="274"/>
      <c r="J24" s="275"/>
      <c r="K24" s="283"/>
      <c r="L24" s="264" t="str">
        <f>Клеммы!J58</f>
        <v>-</v>
      </c>
      <c r="M24" s="266"/>
      <c r="N24" s="264" t="str">
        <f>Клеммы!K58</f>
        <v>-</v>
      </c>
      <c r="O24" s="266"/>
      <c r="P24" s="264" t="str">
        <f>Клеммы!L58</f>
        <v>-</v>
      </c>
      <c r="Q24" s="266"/>
      <c r="R24" s="264" t="str">
        <f>Клеммы!M58</f>
        <v>-</v>
      </c>
      <c r="S24" s="265"/>
      <c r="T24" s="6"/>
      <c r="U24" s="7"/>
      <c r="V24" s="7"/>
      <c r="W24" s="7"/>
      <c r="X24" s="7"/>
      <c r="Y24" s="7"/>
      <c r="Z24" s="7"/>
      <c r="AA24" s="7"/>
      <c r="AB24" s="7"/>
      <c r="AC24" s="7"/>
    </row>
    <row r="25" spans="1:31" ht="16.5" thickBot="1" x14ac:dyDescent="0.3">
      <c r="A25" s="139">
        <v>7</v>
      </c>
      <c r="B25" s="279"/>
      <c r="C25" s="280"/>
      <c r="D25" s="281"/>
      <c r="E25" s="170" t="str">
        <f>Клеммы!A59</f>
        <v>-</v>
      </c>
      <c r="F25" s="255"/>
      <c r="G25" s="171"/>
      <c r="H25" s="274"/>
      <c r="I25" s="274"/>
      <c r="J25" s="275"/>
      <c r="K25" s="283"/>
      <c r="L25" s="264" t="str">
        <f>Клеммы!J59</f>
        <v>-</v>
      </c>
      <c r="M25" s="266"/>
      <c r="N25" s="264" t="str">
        <f>Клеммы!K59</f>
        <v>-</v>
      </c>
      <c r="O25" s="266"/>
      <c r="P25" s="264" t="str">
        <f>Клеммы!L59</f>
        <v>-</v>
      </c>
      <c r="Q25" s="266"/>
      <c r="R25" s="264" t="str">
        <f>Клеммы!M59</f>
        <v>-</v>
      </c>
      <c r="S25" s="265"/>
      <c r="T25" s="6"/>
      <c r="U25" s="7"/>
      <c r="V25" s="7"/>
      <c r="W25" s="7"/>
      <c r="X25" s="7"/>
      <c r="Y25" s="7"/>
      <c r="Z25" s="7"/>
      <c r="AA25" s="7"/>
      <c r="AB25" s="7"/>
      <c r="AC25" s="7"/>
    </row>
    <row r="26" spans="1:31" ht="16.5" thickBot="1" x14ac:dyDescent="0.3">
      <c r="A26" s="139">
        <v>8</v>
      </c>
      <c r="B26" s="279"/>
      <c r="C26" s="280"/>
      <c r="D26" s="281"/>
      <c r="E26" s="170" t="str">
        <f>Клеммы!A60</f>
        <v>-</v>
      </c>
      <c r="F26" s="255"/>
      <c r="G26" s="171"/>
      <c r="H26" s="274"/>
      <c r="I26" s="274"/>
      <c r="J26" s="275"/>
      <c r="K26" s="283"/>
      <c r="L26" s="264" t="str">
        <f>Клеммы!J60</f>
        <v>-</v>
      </c>
      <c r="M26" s="266"/>
      <c r="N26" s="264" t="str">
        <f>Клеммы!K60</f>
        <v>-</v>
      </c>
      <c r="O26" s="266"/>
      <c r="P26" s="264" t="str">
        <f>Клеммы!L60</f>
        <v>-</v>
      </c>
      <c r="Q26" s="266"/>
      <c r="R26" s="264" t="str">
        <f>Клеммы!M60</f>
        <v>-</v>
      </c>
      <c r="S26" s="265"/>
      <c r="T26" s="6"/>
      <c r="U26" s="7"/>
      <c r="V26" s="7"/>
      <c r="W26" s="7"/>
      <c r="X26" s="7"/>
      <c r="Y26" s="7"/>
      <c r="Z26" s="7"/>
      <c r="AA26" s="7"/>
      <c r="AB26" s="7"/>
      <c r="AC26" s="7"/>
    </row>
    <row r="27" spans="1:31" ht="16.5" thickBot="1" x14ac:dyDescent="0.3">
      <c r="A27" s="139">
        <v>9</v>
      </c>
      <c r="B27" s="279"/>
      <c r="C27" s="280"/>
      <c r="D27" s="281"/>
      <c r="E27" s="170" t="str">
        <f>Клеммы!A61</f>
        <v>-</v>
      </c>
      <c r="F27" s="255"/>
      <c r="G27" s="171"/>
      <c r="H27" s="269"/>
      <c r="I27" s="269"/>
      <c r="J27" s="270"/>
      <c r="K27" s="283"/>
      <c r="L27" s="264" t="str">
        <f>Клеммы!J61</f>
        <v>-</v>
      </c>
      <c r="M27" s="266"/>
      <c r="N27" s="264" t="str">
        <f>Клеммы!K61</f>
        <v>-</v>
      </c>
      <c r="O27" s="266"/>
      <c r="P27" s="264" t="str">
        <f>Клеммы!L61</f>
        <v>-</v>
      </c>
      <c r="Q27" s="266"/>
      <c r="R27" s="264" t="str">
        <f>Клеммы!M61</f>
        <v>-</v>
      </c>
      <c r="S27" s="265"/>
      <c r="T27" s="6"/>
      <c r="U27" s="7"/>
      <c r="V27" s="7"/>
      <c r="W27" s="7"/>
      <c r="X27" s="7"/>
      <c r="Y27" s="7"/>
      <c r="Z27" s="7"/>
      <c r="AA27" s="7"/>
      <c r="AB27" s="7"/>
      <c r="AC27" s="7"/>
    </row>
    <row r="28" spans="1:31" ht="16.5" customHeight="1" thickBot="1" x14ac:dyDescent="0.3">
      <c r="A28" s="140">
        <v>10</v>
      </c>
      <c r="B28" s="251"/>
      <c r="C28" s="252"/>
      <c r="D28" s="252"/>
      <c r="E28" s="170" t="str">
        <f>Клеммы!A62</f>
        <v>-</v>
      </c>
      <c r="F28" s="255"/>
      <c r="G28" s="171"/>
      <c r="H28" s="253"/>
      <c r="I28" s="253"/>
      <c r="J28" s="254"/>
      <c r="K28" s="284"/>
      <c r="L28" s="262" t="str">
        <f>Клеммы!J62</f>
        <v>-</v>
      </c>
      <c r="M28" s="263"/>
      <c r="N28" s="262" t="str">
        <f>Клеммы!K62</f>
        <v>-</v>
      </c>
      <c r="O28" s="263"/>
      <c r="P28" s="262" t="str">
        <f>Клеммы!L62</f>
        <v>-</v>
      </c>
      <c r="Q28" s="263"/>
      <c r="R28" s="262" t="str">
        <f>Клеммы!M62</f>
        <v>-</v>
      </c>
      <c r="S28" s="285"/>
      <c r="T28" s="6"/>
      <c r="U28" s="7"/>
      <c r="V28" s="7"/>
      <c r="W28" s="7"/>
      <c r="X28" s="7"/>
      <c r="Y28" s="7"/>
      <c r="Z28" s="7"/>
      <c r="AA28" s="7"/>
      <c r="AB28" s="7"/>
      <c r="AC28" s="7"/>
    </row>
    <row r="29" spans="1:31" ht="24.75" customHeight="1" x14ac:dyDescent="0.25">
      <c r="A29" s="247" t="s">
        <v>176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6"/>
      <c r="U29" s="7"/>
      <c r="V29" s="7"/>
      <c r="W29" s="7"/>
      <c r="X29" s="7"/>
      <c r="Y29" s="7"/>
      <c r="Z29" s="7"/>
      <c r="AA29" s="7"/>
      <c r="AB29" s="7"/>
      <c r="AC29" s="7"/>
    </row>
    <row r="30" spans="1:31" ht="19.5" customHeight="1" thickBot="1" x14ac:dyDescent="0.3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6"/>
      <c r="U30" s="7"/>
      <c r="V30" s="7"/>
      <c r="W30" s="7"/>
      <c r="X30" s="7"/>
      <c r="Y30" s="7"/>
      <c r="Z30" s="7"/>
      <c r="AA30" s="7"/>
      <c r="AB30" s="7"/>
      <c r="AC30" s="7"/>
    </row>
    <row r="31" spans="1:31" ht="48.75" customHeight="1" thickBot="1" x14ac:dyDescent="0.3">
      <c r="A31" s="232" t="s">
        <v>193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1"/>
      <c r="L31" s="141"/>
      <c r="M31" s="141"/>
      <c r="N31" s="141"/>
      <c r="O31" s="141"/>
      <c r="P31" s="141"/>
      <c r="Q31" s="141"/>
      <c r="R31" s="141"/>
      <c r="S31" s="141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31" ht="19.5" customHeight="1" x14ac:dyDescent="0.25">
      <c r="A32" s="312" t="s">
        <v>168</v>
      </c>
      <c r="B32" s="186" t="s">
        <v>169</v>
      </c>
      <c r="C32" s="187"/>
      <c r="D32" s="187"/>
      <c r="E32" s="187"/>
      <c r="F32" s="187"/>
      <c r="G32" s="187"/>
      <c r="H32" s="187"/>
      <c r="I32" s="187"/>
      <c r="J32" s="187"/>
      <c r="K32" s="188"/>
      <c r="L32" s="141"/>
      <c r="M32" s="141"/>
      <c r="N32" s="141"/>
      <c r="O32" s="141"/>
      <c r="P32" s="141"/>
      <c r="Q32" s="141"/>
      <c r="R32" s="141"/>
      <c r="S32" s="141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9.5" customHeight="1" thickBot="1" x14ac:dyDescent="0.3">
      <c r="A33" s="313"/>
      <c r="B33" s="189"/>
      <c r="C33" s="190"/>
      <c r="D33" s="190"/>
      <c r="E33" s="190"/>
      <c r="F33" s="190"/>
      <c r="G33" s="190"/>
      <c r="H33" s="190"/>
      <c r="I33" s="190"/>
      <c r="J33" s="190"/>
      <c r="K33" s="191"/>
      <c r="L33" s="141"/>
      <c r="M33" s="141"/>
      <c r="N33" s="141"/>
      <c r="O33" s="141"/>
      <c r="P33" s="141"/>
      <c r="Q33" s="141"/>
      <c r="R33" s="141"/>
      <c r="S33" s="141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9.5" customHeight="1" x14ac:dyDescent="0.25">
      <c r="A34" s="142">
        <v>1</v>
      </c>
      <c r="B34" s="192"/>
      <c r="C34" s="193"/>
      <c r="D34" s="193"/>
      <c r="E34" s="193"/>
      <c r="F34" s="193"/>
      <c r="G34" s="193"/>
      <c r="H34" s="193"/>
      <c r="I34" s="193"/>
      <c r="J34" s="193"/>
      <c r="K34" s="194"/>
      <c r="L34" s="141"/>
      <c r="M34" s="141"/>
      <c r="N34" s="141"/>
      <c r="O34" s="141"/>
      <c r="P34" s="141"/>
      <c r="Q34" s="141"/>
      <c r="R34" s="141"/>
      <c r="S34" s="141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9.5" customHeight="1" x14ac:dyDescent="0.25">
      <c r="A35" s="143">
        <v>2</v>
      </c>
      <c r="B35" s="195"/>
      <c r="C35" s="196"/>
      <c r="D35" s="196"/>
      <c r="E35" s="196"/>
      <c r="F35" s="196"/>
      <c r="G35" s="196"/>
      <c r="H35" s="196"/>
      <c r="I35" s="196"/>
      <c r="J35" s="196"/>
      <c r="K35" s="197"/>
      <c r="L35" s="144"/>
      <c r="M35" s="144"/>
      <c r="N35" s="144"/>
      <c r="O35" s="144"/>
      <c r="P35" s="144"/>
      <c r="Q35" s="144"/>
      <c r="R35" s="144"/>
      <c r="S35" s="144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9.5" customHeight="1" x14ac:dyDescent="0.25">
      <c r="A36" s="143">
        <v>3</v>
      </c>
      <c r="B36" s="195"/>
      <c r="C36" s="196"/>
      <c r="D36" s="196"/>
      <c r="E36" s="196"/>
      <c r="F36" s="196"/>
      <c r="G36" s="196"/>
      <c r="H36" s="196"/>
      <c r="I36" s="196"/>
      <c r="J36" s="196"/>
      <c r="K36" s="197"/>
      <c r="L36" s="144"/>
      <c r="M36" s="144"/>
      <c r="N36" s="144"/>
      <c r="O36" s="144"/>
      <c r="P36" s="144"/>
      <c r="Q36" s="144"/>
      <c r="R36" s="144"/>
      <c r="S36" s="144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9.5" customHeight="1" x14ac:dyDescent="0.25">
      <c r="A37" s="143">
        <v>4</v>
      </c>
      <c r="B37" s="195"/>
      <c r="C37" s="196"/>
      <c r="D37" s="196"/>
      <c r="E37" s="196"/>
      <c r="F37" s="196"/>
      <c r="G37" s="196"/>
      <c r="H37" s="196"/>
      <c r="I37" s="196"/>
      <c r="J37" s="196"/>
      <c r="K37" s="197"/>
      <c r="L37" s="145"/>
      <c r="M37" s="144"/>
      <c r="N37" s="144"/>
      <c r="O37" s="144"/>
      <c r="P37" s="144"/>
      <c r="Q37" s="144"/>
      <c r="R37" s="144"/>
      <c r="S37" s="144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9.5" customHeight="1" x14ac:dyDescent="0.25">
      <c r="A38" s="143">
        <v>5</v>
      </c>
      <c r="B38" s="195"/>
      <c r="C38" s="196"/>
      <c r="D38" s="196"/>
      <c r="E38" s="196"/>
      <c r="F38" s="196"/>
      <c r="G38" s="196"/>
      <c r="H38" s="196"/>
      <c r="I38" s="196"/>
      <c r="J38" s="196"/>
      <c r="K38" s="197"/>
      <c r="L38" s="144"/>
      <c r="M38" s="144"/>
      <c r="N38" s="144"/>
      <c r="O38" s="144"/>
      <c r="P38" s="144"/>
      <c r="Q38" s="144"/>
      <c r="R38" s="144"/>
      <c r="S38" s="144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9.5" customHeight="1" x14ac:dyDescent="0.25">
      <c r="A39" s="143">
        <v>6</v>
      </c>
      <c r="B39" s="195"/>
      <c r="C39" s="196"/>
      <c r="D39" s="196"/>
      <c r="E39" s="196"/>
      <c r="F39" s="196"/>
      <c r="G39" s="196"/>
      <c r="H39" s="196"/>
      <c r="I39" s="196"/>
      <c r="J39" s="196"/>
      <c r="K39" s="197"/>
      <c r="L39" s="144"/>
      <c r="M39" s="144"/>
      <c r="N39" s="144"/>
      <c r="O39" s="144"/>
      <c r="P39" s="144"/>
      <c r="Q39" s="144"/>
      <c r="R39" s="144"/>
      <c r="S39" s="144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9.5" customHeight="1" x14ac:dyDescent="0.25">
      <c r="A40" s="143">
        <v>7</v>
      </c>
      <c r="B40" s="195"/>
      <c r="C40" s="196"/>
      <c r="D40" s="196"/>
      <c r="E40" s="196"/>
      <c r="F40" s="196"/>
      <c r="G40" s="196"/>
      <c r="H40" s="196"/>
      <c r="I40" s="196"/>
      <c r="J40" s="196"/>
      <c r="K40" s="197"/>
      <c r="L40" s="144"/>
      <c r="M40" s="144"/>
      <c r="N40" s="144"/>
      <c r="O40" s="144"/>
      <c r="P40" s="144"/>
      <c r="Q40" s="144"/>
      <c r="R40" s="144"/>
      <c r="S40" s="144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9.5" customHeight="1" x14ac:dyDescent="0.25">
      <c r="A41" s="143">
        <v>8</v>
      </c>
      <c r="B41" s="195"/>
      <c r="C41" s="196"/>
      <c r="D41" s="196"/>
      <c r="E41" s="196"/>
      <c r="F41" s="196"/>
      <c r="G41" s="196"/>
      <c r="H41" s="196"/>
      <c r="I41" s="196"/>
      <c r="J41" s="196"/>
      <c r="K41" s="197"/>
      <c r="L41" s="144"/>
      <c r="M41" s="144"/>
      <c r="N41" s="144"/>
      <c r="O41" s="144"/>
      <c r="P41" s="144"/>
      <c r="Q41" s="144"/>
      <c r="R41" s="144"/>
      <c r="S41" s="144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9.5" customHeight="1" x14ac:dyDescent="0.25">
      <c r="A42" s="143">
        <v>9</v>
      </c>
      <c r="B42" s="195"/>
      <c r="C42" s="196"/>
      <c r="D42" s="196"/>
      <c r="E42" s="196"/>
      <c r="F42" s="196"/>
      <c r="G42" s="196"/>
      <c r="H42" s="196"/>
      <c r="I42" s="196"/>
      <c r="J42" s="196"/>
      <c r="K42" s="197"/>
      <c r="L42" s="144"/>
      <c r="M42" s="144"/>
      <c r="N42" s="144"/>
      <c r="O42" s="144"/>
      <c r="P42" s="144"/>
      <c r="Q42" s="144"/>
      <c r="R42" s="144"/>
      <c r="S42" s="144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8" customHeight="1" thickBot="1" x14ac:dyDescent="0.3">
      <c r="A43" s="140">
        <v>10</v>
      </c>
      <c r="B43" s="198"/>
      <c r="C43" s="199"/>
      <c r="D43" s="199"/>
      <c r="E43" s="199"/>
      <c r="F43" s="199"/>
      <c r="G43" s="199"/>
      <c r="H43" s="199"/>
      <c r="I43" s="199"/>
      <c r="J43" s="199"/>
      <c r="K43" s="200"/>
      <c r="L43" s="144"/>
      <c r="M43" s="144"/>
      <c r="N43" s="144"/>
      <c r="O43" s="144"/>
      <c r="P43" s="144"/>
      <c r="Q43" s="144"/>
      <c r="R43" s="144"/>
      <c r="S43" s="144"/>
      <c r="T43" s="15"/>
      <c r="U43" s="15"/>
      <c r="V43" s="8"/>
      <c r="W43" s="8"/>
      <c r="X43" s="7"/>
      <c r="Y43" s="7"/>
      <c r="Z43" s="7"/>
      <c r="AA43" s="7"/>
      <c r="AB43" s="7"/>
      <c r="AC43" s="7"/>
    </row>
    <row r="44" spans="1:29" ht="18" customHeight="1" x14ac:dyDescent="0.25">
      <c r="A44" s="201" t="s">
        <v>206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146"/>
      <c r="M44" s="146"/>
      <c r="N44" s="146"/>
      <c r="O44" s="147"/>
      <c r="P44" s="144"/>
      <c r="Q44" s="144"/>
      <c r="R44" s="144"/>
      <c r="S44" s="144"/>
      <c r="T44" s="15"/>
      <c r="U44" s="15"/>
      <c r="V44" s="8"/>
      <c r="W44" s="8"/>
      <c r="X44" s="7"/>
      <c r="Y44" s="7"/>
      <c r="Z44" s="7"/>
      <c r="AA44" s="7"/>
      <c r="AB44" s="7"/>
      <c r="AC44" s="7"/>
    </row>
    <row r="45" spans="1:29" ht="18" x14ac:dyDescent="0.2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146"/>
      <c r="M45" s="146"/>
      <c r="N45" s="146"/>
      <c r="O45" s="147"/>
      <c r="P45" s="144"/>
      <c r="Q45" s="144"/>
      <c r="R45" s="144"/>
      <c r="S45" s="144"/>
      <c r="T45" s="10"/>
      <c r="U45" s="10"/>
      <c r="V45" s="7"/>
      <c r="W45" s="7"/>
      <c r="X45" s="7"/>
      <c r="Y45" s="7"/>
      <c r="Z45" s="7"/>
      <c r="AA45" s="7"/>
      <c r="AB45" s="7"/>
      <c r="AC45" s="7"/>
    </row>
    <row r="46" spans="1:29" ht="18" x14ac:dyDescent="0.2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146"/>
      <c r="M46" s="146"/>
      <c r="N46" s="146"/>
      <c r="O46" s="147"/>
      <c r="P46" s="144"/>
      <c r="Q46" s="144"/>
      <c r="R46" s="144"/>
      <c r="S46" s="144"/>
      <c r="T46" s="10"/>
      <c r="U46" s="10"/>
      <c r="V46" s="7"/>
      <c r="W46" s="7"/>
      <c r="X46" s="7"/>
      <c r="Y46" s="7"/>
      <c r="Z46" s="7"/>
      <c r="AA46" s="7"/>
      <c r="AB46" s="7"/>
      <c r="AC46" s="7"/>
    </row>
    <row r="47" spans="1:29" ht="18" x14ac:dyDescent="0.2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46"/>
      <c r="M47" s="146"/>
      <c r="N47" s="146"/>
      <c r="O47" s="147"/>
      <c r="P47" s="144"/>
      <c r="Q47" s="144"/>
      <c r="R47" s="144"/>
      <c r="S47" s="144"/>
      <c r="T47" s="10"/>
      <c r="U47" s="10"/>
      <c r="V47" s="7"/>
      <c r="W47" s="7"/>
      <c r="X47" s="7"/>
      <c r="Y47" s="7"/>
      <c r="Z47" s="7"/>
      <c r="AA47" s="7"/>
      <c r="AB47" s="7"/>
      <c r="AC47" s="7"/>
    </row>
    <row r="48" spans="1:29" ht="18" customHeight="1" thickBot="1" x14ac:dyDescent="0.3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146"/>
      <c r="M48" s="146"/>
      <c r="N48" s="146"/>
      <c r="O48" s="147"/>
      <c r="P48" s="144"/>
      <c r="Q48" s="144"/>
      <c r="R48" s="144"/>
      <c r="S48" s="144"/>
      <c r="T48" s="16"/>
      <c r="U48" s="16"/>
      <c r="V48" s="7"/>
      <c r="W48" s="7"/>
      <c r="X48" s="7"/>
      <c r="Y48" s="7"/>
      <c r="Z48" s="7"/>
      <c r="AA48" s="7"/>
      <c r="AB48" s="7"/>
      <c r="AC48" s="7"/>
    </row>
    <row r="49" spans="1:29" ht="18" customHeight="1" x14ac:dyDescent="0.25">
      <c r="A49" s="222" t="s">
        <v>141</v>
      </c>
      <c r="B49" s="222" t="s">
        <v>142</v>
      </c>
      <c r="C49" s="256"/>
      <c r="D49" s="257"/>
      <c r="E49" s="216" t="s">
        <v>143</v>
      </c>
      <c r="F49" s="217"/>
      <c r="G49" s="218"/>
      <c r="H49" s="216" t="s">
        <v>119</v>
      </c>
      <c r="I49" s="224"/>
      <c r="J49" s="224"/>
      <c r="K49" s="224"/>
      <c r="L49" s="225"/>
      <c r="M49" s="222" t="s">
        <v>170</v>
      </c>
      <c r="N49" s="256"/>
      <c r="O49" s="257"/>
      <c r="P49" s="222" t="s">
        <v>154</v>
      </c>
      <c r="Q49" s="257"/>
      <c r="R49" s="149"/>
      <c r="S49" s="149"/>
      <c r="T49" s="149"/>
      <c r="U49" s="149"/>
      <c r="V49" s="7"/>
      <c r="W49" s="7"/>
      <c r="X49" s="7"/>
      <c r="Y49" s="7"/>
      <c r="Z49" s="7"/>
      <c r="AA49" s="7"/>
      <c r="AB49" s="7"/>
      <c r="AC49" s="7"/>
    </row>
    <row r="50" spans="1:29" ht="21" customHeight="1" thickBot="1" x14ac:dyDescent="0.3">
      <c r="A50" s="223"/>
      <c r="B50" s="223"/>
      <c r="C50" s="258"/>
      <c r="D50" s="259"/>
      <c r="E50" s="219"/>
      <c r="F50" s="220"/>
      <c r="G50" s="221"/>
      <c r="H50" s="226"/>
      <c r="I50" s="227"/>
      <c r="J50" s="227"/>
      <c r="K50" s="227"/>
      <c r="L50" s="228"/>
      <c r="M50" s="223"/>
      <c r="N50" s="258"/>
      <c r="O50" s="259"/>
      <c r="P50" s="223"/>
      <c r="Q50" s="259"/>
      <c r="R50" s="149"/>
      <c r="S50" s="149"/>
      <c r="T50" s="149"/>
      <c r="U50" s="149"/>
      <c r="V50" s="7"/>
      <c r="W50" s="7"/>
      <c r="X50" s="7"/>
      <c r="Y50" s="7"/>
      <c r="Z50" s="7"/>
      <c r="AA50" s="7"/>
      <c r="AB50" s="7"/>
      <c r="AC50" s="7"/>
    </row>
    <row r="51" spans="1:29" ht="18" customHeight="1" thickBot="1" x14ac:dyDescent="0.3">
      <c r="A51" s="148" t="str">
        <f>'Кабельные вводы'!P13</f>
        <v>-</v>
      </c>
      <c r="B51" s="248"/>
      <c r="C51" s="249"/>
      <c r="D51" s="250"/>
      <c r="E51" s="213" t="str">
        <f>'Кабельные вводы'!Q13</f>
        <v>-</v>
      </c>
      <c r="F51" s="214"/>
      <c r="G51" s="215"/>
      <c r="H51" s="210"/>
      <c r="I51" s="211"/>
      <c r="J51" s="211"/>
      <c r="K51" s="211"/>
      <c r="L51" s="212"/>
      <c r="M51" s="232" t="str">
        <f>'Кабельные вводы'!R13</f>
        <v>-</v>
      </c>
      <c r="N51" s="233"/>
      <c r="O51" s="234"/>
      <c r="P51" s="170" t="str">
        <f>'Кабельные вводы'!S13</f>
        <v>-</v>
      </c>
      <c r="Q51" s="171"/>
      <c r="R51" s="149"/>
      <c r="S51" s="149"/>
      <c r="T51" s="149"/>
      <c r="U51" s="149"/>
      <c r="V51" s="7"/>
      <c r="W51" s="7"/>
      <c r="X51" s="7"/>
      <c r="Y51" s="7"/>
      <c r="Z51" s="7"/>
      <c r="AA51" s="7"/>
      <c r="AB51" s="7"/>
      <c r="AC51" s="7"/>
    </row>
    <row r="52" spans="1:29" ht="18" customHeight="1" thickBot="1" x14ac:dyDescent="0.3">
      <c r="A52" s="148" t="str">
        <f>'Кабельные вводы'!P14</f>
        <v>-</v>
      </c>
      <c r="B52" s="248"/>
      <c r="C52" s="249"/>
      <c r="D52" s="250"/>
      <c r="E52" s="213" t="str">
        <f>'Кабельные вводы'!Q14</f>
        <v>-</v>
      </c>
      <c r="F52" s="214"/>
      <c r="G52" s="215"/>
      <c r="H52" s="210"/>
      <c r="I52" s="211"/>
      <c r="J52" s="211"/>
      <c r="K52" s="211"/>
      <c r="L52" s="212"/>
      <c r="M52" s="232" t="str">
        <f>'Кабельные вводы'!R14</f>
        <v>-</v>
      </c>
      <c r="N52" s="233"/>
      <c r="O52" s="234"/>
      <c r="P52" s="170" t="str">
        <f>'Кабельные вводы'!S14</f>
        <v>-</v>
      </c>
      <c r="Q52" s="171"/>
      <c r="R52" s="149"/>
      <c r="S52" s="149"/>
      <c r="T52" s="149"/>
      <c r="U52" s="149"/>
      <c r="V52" s="7"/>
      <c r="W52" s="7"/>
      <c r="X52" s="7"/>
      <c r="Y52" s="7"/>
      <c r="Z52" s="7"/>
      <c r="AA52" s="7"/>
      <c r="AB52" s="7"/>
      <c r="AC52" s="7"/>
    </row>
    <row r="53" spans="1:29" ht="18" customHeight="1" thickBot="1" x14ac:dyDescent="0.3">
      <c r="A53" s="148" t="str">
        <f>'Кабельные вводы'!P15</f>
        <v>-</v>
      </c>
      <c r="B53" s="248"/>
      <c r="C53" s="249"/>
      <c r="D53" s="250"/>
      <c r="E53" s="213" t="str">
        <f>'Кабельные вводы'!Q15</f>
        <v>-</v>
      </c>
      <c r="F53" s="214"/>
      <c r="G53" s="215"/>
      <c r="H53" s="210"/>
      <c r="I53" s="211"/>
      <c r="J53" s="211"/>
      <c r="K53" s="211"/>
      <c r="L53" s="212"/>
      <c r="M53" s="232" t="str">
        <f>'Кабельные вводы'!R15</f>
        <v>-</v>
      </c>
      <c r="N53" s="233"/>
      <c r="O53" s="234"/>
      <c r="P53" s="170" t="str">
        <f>'Кабельные вводы'!S15</f>
        <v>-</v>
      </c>
      <c r="Q53" s="171"/>
      <c r="R53" s="149"/>
      <c r="S53" s="149"/>
      <c r="T53" s="149"/>
      <c r="U53" s="149"/>
      <c r="V53" s="7"/>
      <c r="W53" s="7"/>
      <c r="X53" s="7"/>
      <c r="Y53" s="7"/>
      <c r="Z53" s="7"/>
      <c r="AA53" s="7"/>
      <c r="AB53" s="7"/>
      <c r="AC53" s="7"/>
    </row>
    <row r="54" spans="1:29" ht="18" customHeight="1" thickBot="1" x14ac:dyDescent="0.3">
      <c r="A54" s="148" t="str">
        <f>'Кабельные вводы'!P16</f>
        <v>-</v>
      </c>
      <c r="B54" s="248"/>
      <c r="C54" s="249"/>
      <c r="D54" s="250"/>
      <c r="E54" s="213" t="str">
        <f>'Кабельные вводы'!Q16</f>
        <v>-</v>
      </c>
      <c r="F54" s="214"/>
      <c r="G54" s="215"/>
      <c r="H54" s="210"/>
      <c r="I54" s="211"/>
      <c r="J54" s="211"/>
      <c r="K54" s="211"/>
      <c r="L54" s="212"/>
      <c r="M54" s="232" t="str">
        <f>'Кабельные вводы'!R16</f>
        <v>-</v>
      </c>
      <c r="N54" s="233"/>
      <c r="O54" s="234"/>
      <c r="P54" s="170" t="str">
        <f>'Кабельные вводы'!S16</f>
        <v>-</v>
      </c>
      <c r="Q54" s="171"/>
      <c r="R54" s="149"/>
      <c r="S54" s="149"/>
      <c r="T54" s="149"/>
      <c r="U54" s="149"/>
      <c r="V54" s="7"/>
      <c r="W54" s="7"/>
      <c r="X54" s="7"/>
      <c r="Y54" s="7"/>
      <c r="Z54" s="7"/>
      <c r="AA54" s="7"/>
      <c r="AB54" s="7"/>
      <c r="AC54" s="7"/>
    </row>
    <row r="55" spans="1:29" ht="18" customHeight="1" thickBot="1" x14ac:dyDescent="0.3">
      <c r="A55" s="148" t="str">
        <f>'Кабельные вводы'!P17</f>
        <v>-</v>
      </c>
      <c r="B55" s="248"/>
      <c r="C55" s="249"/>
      <c r="D55" s="250"/>
      <c r="E55" s="213" t="str">
        <f>'Кабельные вводы'!Q17</f>
        <v>-</v>
      </c>
      <c r="F55" s="214"/>
      <c r="G55" s="215"/>
      <c r="H55" s="210"/>
      <c r="I55" s="211"/>
      <c r="J55" s="211"/>
      <c r="K55" s="211"/>
      <c r="L55" s="212"/>
      <c r="M55" s="232" t="str">
        <f>'Кабельные вводы'!R17</f>
        <v>-</v>
      </c>
      <c r="N55" s="233"/>
      <c r="O55" s="234"/>
      <c r="P55" s="170" t="str">
        <f>'Кабельные вводы'!S17</f>
        <v>-</v>
      </c>
      <c r="Q55" s="171"/>
      <c r="R55" s="149"/>
      <c r="S55" s="149"/>
      <c r="T55" s="149"/>
      <c r="U55" s="149"/>
      <c r="V55" s="7"/>
      <c r="W55" s="7"/>
      <c r="X55" s="7"/>
      <c r="Y55" s="7"/>
      <c r="Z55" s="7"/>
      <c r="AA55" s="7"/>
      <c r="AB55" s="7"/>
      <c r="AC55" s="7"/>
    </row>
    <row r="56" spans="1:29" ht="18" customHeight="1" thickBot="1" x14ac:dyDescent="0.3">
      <c r="A56" s="148" t="str">
        <f>'Кабельные вводы'!P18</f>
        <v>-</v>
      </c>
      <c r="B56" s="248"/>
      <c r="C56" s="249"/>
      <c r="D56" s="250"/>
      <c r="E56" s="213" t="str">
        <f>'Кабельные вводы'!Q18</f>
        <v>-</v>
      </c>
      <c r="F56" s="214"/>
      <c r="G56" s="215"/>
      <c r="H56" s="210"/>
      <c r="I56" s="211"/>
      <c r="J56" s="211"/>
      <c r="K56" s="211"/>
      <c r="L56" s="212"/>
      <c r="M56" s="232" t="str">
        <f>'Кабельные вводы'!R18</f>
        <v>-</v>
      </c>
      <c r="N56" s="233"/>
      <c r="O56" s="234"/>
      <c r="P56" s="170" t="str">
        <f>'Кабельные вводы'!S18</f>
        <v>-</v>
      </c>
      <c r="Q56" s="171"/>
      <c r="R56" s="149"/>
      <c r="S56" s="149"/>
      <c r="T56" s="149"/>
      <c r="U56" s="149"/>
      <c r="V56" s="7"/>
      <c r="W56" s="7"/>
      <c r="X56" s="7"/>
      <c r="Y56" s="7"/>
      <c r="Z56" s="7"/>
      <c r="AA56" s="7"/>
      <c r="AB56" s="7"/>
      <c r="AC56" s="7"/>
    </row>
    <row r="57" spans="1:29" ht="18" customHeight="1" thickBot="1" x14ac:dyDescent="0.3">
      <c r="A57" s="148" t="str">
        <f>'Кабельные вводы'!P19</f>
        <v>-</v>
      </c>
      <c r="B57" s="248"/>
      <c r="C57" s="249"/>
      <c r="D57" s="250"/>
      <c r="E57" s="213" t="str">
        <f>'Кабельные вводы'!Q19</f>
        <v>-</v>
      </c>
      <c r="F57" s="214"/>
      <c r="G57" s="215"/>
      <c r="H57" s="210"/>
      <c r="I57" s="211"/>
      <c r="J57" s="211"/>
      <c r="K57" s="211"/>
      <c r="L57" s="212"/>
      <c r="M57" s="232" t="str">
        <f>'Кабельные вводы'!R19</f>
        <v>-</v>
      </c>
      <c r="N57" s="233"/>
      <c r="O57" s="234"/>
      <c r="P57" s="170" t="str">
        <f>'Кабельные вводы'!S19</f>
        <v>-</v>
      </c>
      <c r="Q57" s="171"/>
      <c r="R57" s="149"/>
      <c r="S57" s="149"/>
      <c r="T57" s="149"/>
      <c r="U57" s="149"/>
      <c r="V57" s="7"/>
      <c r="W57" s="7"/>
      <c r="X57" s="7"/>
      <c r="Y57" s="7"/>
      <c r="Z57" s="7"/>
      <c r="AA57" s="7"/>
      <c r="AB57" s="7"/>
      <c r="AC57" s="7"/>
    </row>
    <row r="58" spans="1:29" ht="18" customHeight="1" thickBot="1" x14ac:dyDescent="0.3">
      <c r="A58" s="148" t="str">
        <f>'Кабельные вводы'!P20</f>
        <v>-</v>
      </c>
      <c r="B58" s="327"/>
      <c r="C58" s="328"/>
      <c r="D58" s="329"/>
      <c r="E58" s="213" t="str">
        <f>'Кабельные вводы'!Q20</f>
        <v>-</v>
      </c>
      <c r="F58" s="214"/>
      <c r="G58" s="215"/>
      <c r="H58" s="150"/>
      <c r="I58" s="150"/>
      <c r="J58" s="150"/>
      <c r="K58" s="150"/>
      <c r="L58" s="151"/>
      <c r="M58" s="232" t="str">
        <f>'Кабельные вводы'!R20</f>
        <v>-</v>
      </c>
      <c r="N58" s="233"/>
      <c r="O58" s="234"/>
      <c r="P58" s="170" t="str">
        <f>'Кабельные вводы'!S20</f>
        <v>-</v>
      </c>
      <c r="Q58" s="171"/>
      <c r="R58" s="149"/>
      <c r="S58" s="149"/>
      <c r="T58" s="149"/>
      <c r="U58" s="149"/>
      <c r="V58" s="7"/>
      <c r="W58" s="7"/>
      <c r="X58" s="7"/>
      <c r="Y58" s="7"/>
      <c r="Z58" s="7"/>
      <c r="AA58" s="7"/>
      <c r="AB58" s="7"/>
      <c r="AC58" s="7"/>
    </row>
    <row r="59" spans="1:29" ht="18" customHeight="1" x14ac:dyDescent="0.25">
      <c r="A59" s="247" t="s">
        <v>160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149"/>
      <c r="S59" s="149"/>
      <c r="T59" s="13"/>
      <c r="U59" s="13"/>
      <c r="V59" s="7"/>
      <c r="W59" s="7"/>
      <c r="X59" s="7"/>
      <c r="Y59" s="7"/>
      <c r="Z59" s="7"/>
      <c r="AA59" s="7"/>
      <c r="AB59" s="7"/>
      <c r="AC59" s="7"/>
    </row>
    <row r="60" spans="1:29" ht="27" customHeight="1" thickBot="1" x14ac:dyDescent="0.3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149"/>
      <c r="S60" s="149"/>
      <c r="T60" s="13"/>
      <c r="U60" s="13"/>
      <c r="V60" s="7"/>
      <c r="W60" s="7"/>
      <c r="X60" s="7"/>
      <c r="Y60" s="7"/>
      <c r="Z60" s="7"/>
      <c r="AA60" s="7"/>
      <c r="AB60" s="7"/>
      <c r="AC60" s="7"/>
    </row>
    <row r="61" spans="1:29" ht="46.5" customHeight="1" thickBot="1" x14ac:dyDescent="0.3">
      <c r="A61" s="232" t="s">
        <v>202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4"/>
      <c r="M61" s="7"/>
      <c r="N61" s="7"/>
      <c r="O61" s="7"/>
      <c r="P61" s="7"/>
      <c r="Q61" s="161"/>
      <c r="R61" s="149"/>
      <c r="S61" s="149"/>
      <c r="T61" s="13"/>
      <c r="U61" s="13"/>
      <c r="V61" s="7"/>
      <c r="W61" s="7"/>
      <c r="X61" s="7"/>
      <c r="Y61" s="7"/>
      <c r="Z61" s="7"/>
      <c r="AA61" s="7"/>
      <c r="AB61" s="7"/>
      <c r="AC61" s="7"/>
    </row>
    <row r="62" spans="1:29" ht="18" customHeight="1" x14ac:dyDescent="0.25">
      <c r="A62" s="235" t="str">
        <f>'Кабельные вводы'!G79</f>
        <v>-</v>
      </c>
      <c r="B62" s="236"/>
      <c r="C62" s="236"/>
      <c r="D62" s="236"/>
      <c r="E62" s="237"/>
      <c r="F62" s="244"/>
      <c r="G62" s="245"/>
      <c r="H62" s="245"/>
      <c r="I62" s="245"/>
      <c r="J62" s="245"/>
      <c r="K62" s="245"/>
      <c r="L62" s="24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8" customHeight="1" x14ac:dyDescent="0.25">
      <c r="A63" s="238" t="str">
        <f>'Кабельные вводы'!G80</f>
        <v>-</v>
      </c>
      <c r="B63" s="239"/>
      <c r="C63" s="239"/>
      <c r="D63" s="239"/>
      <c r="E63" s="240"/>
      <c r="F63" s="167"/>
      <c r="G63" s="168"/>
      <c r="H63" s="168"/>
      <c r="I63" s="168"/>
      <c r="J63" s="168"/>
      <c r="K63" s="168"/>
      <c r="L63" s="16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8" customHeight="1" x14ac:dyDescent="0.25">
      <c r="A64" s="238" t="str">
        <f>'Кабельные вводы'!G81</f>
        <v>-</v>
      </c>
      <c r="B64" s="239"/>
      <c r="C64" s="239"/>
      <c r="D64" s="239"/>
      <c r="E64" s="240"/>
      <c r="F64" s="167"/>
      <c r="G64" s="168"/>
      <c r="H64" s="168"/>
      <c r="I64" s="168"/>
      <c r="J64" s="168"/>
      <c r="K64" s="168"/>
      <c r="L64" s="169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8" customHeight="1" x14ac:dyDescent="0.25">
      <c r="A65" s="238" t="str">
        <f>'Кабельные вводы'!G82</f>
        <v>-</v>
      </c>
      <c r="B65" s="239"/>
      <c r="C65" s="239"/>
      <c r="D65" s="239"/>
      <c r="E65" s="240"/>
      <c r="F65" s="167"/>
      <c r="G65" s="168"/>
      <c r="H65" s="168"/>
      <c r="I65" s="168"/>
      <c r="J65" s="168"/>
      <c r="K65" s="168"/>
      <c r="L65" s="169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8" customHeight="1" x14ac:dyDescent="0.25">
      <c r="A66" s="238" t="str">
        <f>'Кабельные вводы'!G83</f>
        <v>-</v>
      </c>
      <c r="B66" s="239"/>
      <c r="C66" s="239"/>
      <c r="D66" s="239"/>
      <c r="E66" s="240"/>
      <c r="F66" s="167"/>
      <c r="G66" s="168"/>
      <c r="H66" s="168"/>
      <c r="I66" s="168"/>
      <c r="J66" s="168"/>
      <c r="K66" s="168"/>
      <c r="L66" s="169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8" customHeight="1" x14ac:dyDescent="0.25">
      <c r="A67" s="238" t="str">
        <f>'Кабельные вводы'!G84</f>
        <v>-</v>
      </c>
      <c r="B67" s="239"/>
      <c r="C67" s="239"/>
      <c r="D67" s="239"/>
      <c r="E67" s="240"/>
      <c r="F67" s="167"/>
      <c r="G67" s="168"/>
      <c r="H67" s="168"/>
      <c r="I67" s="168"/>
      <c r="J67" s="168"/>
      <c r="K67" s="168"/>
      <c r="L67" s="169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8" customHeight="1" x14ac:dyDescent="0.25">
      <c r="A68" s="238" t="str">
        <f>'Кабельные вводы'!G85</f>
        <v>-</v>
      </c>
      <c r="B68" s="239"/>
      <c r="C68" s="239"/>
      <c r="D68" s="239"/>
      <c r="E68" s="240"/>
      <c r="F68" s="167"/>
      <c r="G68" s="168"/>
      <c r="H68" s="168"/>
      <c r="I68" s="168"/>
      <c r="J68" s="168"/>
      <c r="K68" s="168"/>
      <c r="L68" s="16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8" customHeight="1" thickBot="1" x14ac:dyDescent="0.3">
      <c r="A69" s="241" t="str">
        <f>'Кабельные вводы'!G86</f>
        <v>-</v>
      </c>
      <c r="B69" s="242"/>
      <c r="C69" s="242"/>
      <c r="D69" s="242"/>
      <c r="E69" s="243"/>
      <c r="F69" s="229"/>
      <c r="G69" s="230"/>
      <c r="H69" s="230"/>
      <c r="I69" s="230"/>
      <c r="J69" s="230"/>
      <c r="K69" s="230"/>
      <c r="L69" s="231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8" customHeight="1" thickBot="1" x14ac:dyDescent="0.3">
      <c r="A70" s="155"/>
      <c r="B70" s="155"/>
      <c r="C70" s="155"/>
      <c r="D70" s="155"/>
      <c r="E70" s="155"/>
      <c r="F70" s="156"/>
      <c r="G70" s="156"/>
      <c r="H70" s="156"/>
      <c r="I70" s="156"/>
      <c r="J70" s="156"/>
      <c r="K70" s="156"/>
      <c r="L70" s="15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44.25" customHeight="1" thickBot="1" x14ac:dyDescent="0.3">
      <c r="A71" s="172" t="s">
        <v>141</v>
      </c>
      <c r="B71" s="206" t="s">
        <v>203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8" customHeight="1" thickBot="1" x14ac:dyDescent="0.3">
      <c r="A72" s="173"/>
      <c r="B72" s="203" t="s">
        <v>156</v>
      </c>
      <c r="C72" s="205"/>
      <c r="D72" s="203" t="s">
        <v>157</v>
      </c>
      <c r="E72" s="204"/>
      <c r="F72" s="205"/>
      <c r="G72" s="203" t="s">
        <v>158</v>
      </c>
      <c r="H72" s="204"/>
      <c r="I72" s="205"/>
      <c r="J72" s="203" t="s">
        <v>159</v>
      </c>
      <c r="K72" s="204"/>
      <c r="L72" s="20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8" customHeight="1" x14ac:dyDescent="0.25">
      <c r="A73" s="152" t="str">
        <f>IF('Кабельные вводы'!K13=9,"-",'Кабельные вводы'!K13)</f>
        <v>-</v>
      </c>
      <c r="B73" s="207"/>
      <c r="C73" s="209"/>
      <c r="D73" s="207"/>
      <c r="E73" s="208"/>
      <c r="F73" s="209"/>
      <c r="G73" s="207"/>
      <c r="H73" s="208"/>
      <c r="I73" s="209"/>
      <c r="J73" s="207"/>
      <c r="K73" s="208"/>
      <c r="L73" s="20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8" customHeight="1" x14ac:dyDescent="0.25">
      <c r="A74" s="153" t="str">
        <f>IF('Кабельные вводы'!K14=9,"-",'Кабельные вводы'!K14)</f>
        <v>-</v>
      </c>
      <c r="B74" s="183"/>
      <c r="C74" s="184"/>
      <c r="D74" s="183"/>
      <c r="E74" s="185"/>
      <c r="F74" s="184"/>
      <c r="G74" s="183"/>
      <c r="H74" s="185"/>
      <c r="I74" s="184"/>
      <c r="J74" s="183"/>
      <c r="K74" s="185"/>
      <c r="L74" s="184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8" customHeight="1" x14ac:dyDescent="0.25">
      <c r="A75" s="153" t="str">
        <f>IF('Кабельные вводы'!K15=9,"-",'Кабельные вводы'!K15)</f>
        <v>-</v>
      </c>
      <c r="B75" s="183"/>
      <c r="C75" s="184"/>
      <c r="D75" s="183"/>
      <c r="E75" s="185"/>
      <c r="F75" s="184"/>
      <c r="G75" s="183"/>
      <c r="H75" s="185"/>
      <c r="I75" s="184"/>
      <c r="J75" s="183"/>
      <c r="K75" s="185"/>
      <c r="L75" s="184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8" customHeight="1" x14ac:dyDescent="0.25">
      <c r="A76" s="153" t="str">
        <f>IF('Кабельные вводы'!K16=9,"-",'Кабельные вводы'!K16)</f>
        <v>-</v>
      </c>
      <c r="B76" s="183"/>
      <c r="C76" s="184"/>
      <c r="D76" s="183"/>
      <c r="E76" s="185"/>
      <c r="F76" s="184"/>
      <c r="G76" s="183"/>
      <c r="H76" s="185"/>
      <c r="I76" s="184"/>
      <c r="J76" s="183"/>
      <c r="K76" s="185"/>
      <c r="L76" s="184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8" customHeight="1" x14ac:dyDescent="0.25">
      <c r="A77" s="153" t="str">
        <f>IF('Кабельные вводы'!K17=9,"-",'Кабельные вводы'!K17)</f>
        <v>-</v>
      </c>
      <c r="B77" s="183"/>
      <c r="C77" s="184"/>
      <c r="D77" s="183"/>
      <c r="E77" s="185"/>
      <c r="F77" s="184"/>
      <c r="G77" s="183"/>
      <c r="H77" s="185"/>
      <c r="I77" s="184"/>
      <c r="J77" s="183"/>
      <c r="K77" s="185"/>
      <c r="L77" s="184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8" customHeight="1" x14ac:dyDescent="0.25">
      <c r="A78" s="153" t="str">
        <f>IF('Кабельные вводы'!K18=9,"-",'Кабельные вводы'!K18)</f>
        <v>-</v>
      </c>
      <c r="B78" s="183"/>
      <c r="C78" s="184"/>
      <c r="D78" s="183"/>
      <c r="E78" s="185"/>
      <c r="F78" s="184"/>
      <c r="G78" s="183"/>
      <c r="H78" s="185"/>
      <c r="I78" s="184"/>
      <c r="J78" s="183"/>
      <c r="K78" s="185"/>
      <c r="L78" s="184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8" customHeight="1" x14ac:dyDescent="0.25">
      <c r="A79" s="153" t="str">
        <f>IF('Кабельные вводы'!K19=9,"-",'Кабельные вводы'!K19)</f>
        <v>-</v>
      </c>
      <c r="B79" s="183"/>
      <c r="C79" s="184"/>
      <c r="D79" s="183"/>
      <c r="E79" s="185"/>
      <c r="F79" s="184"/>
      <c r="G79" s="183"/>
      <c r="H79" s="185"/>
      <c r="I79" s="184"/>
      <c r="J79" s="183"/>
      <c r="K79" s="185"/>
      <c r="L79" s="184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8" customHeight="1" thickBot="1" x14ac:dyDescent="0.3">
      <c r="A80" s="154" t="str">
        <f>IF('Кабельные вводы'!K20=9,"-",'Кабельные вводы'!K20)</f>
        <v>-</v>
      </c>
      <c r="B80" s="164"/>
      <c r="C80" s="166"/>
      <c r="D80" s="164"/>
      <c r="E80" s="165"/>
      <c r="F80" s="166"/>
      <c r="G80" s="164"/>
      <c r="H80" s="165"/>
      <c r="I80" s="166"/>
      <c r="J80" s="164"/>
      <c r="K80" s="165"/>
      <c r="L80" s="16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8" customHeight="1" thickBo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8" customHeight="1" x14ac:dyDescent="0.25">
      <c r="A82" s="321" t="s">
        <v>27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3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8" customHeight="1" thickBot="1" x14ac:dyDescent="0.3">
      <c r="A83" s="324"/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6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8" customHeight="1" x14ac:dyDescent="0.25">
      <c r="A84" s="174" t="str">
        <f>IF(Клеммы!F76="???",Клеммы!H66,IF(NOT(Клеммы!F77="НОРМА"),Клеммы!E66,IF(Клеммы!F78="???",Клеммы!K66,IF(Клеммы!L49="Х",Клеммы!L48,IF('Кабельные вводы'!Q90="Х",'Кабельные вводы'!J28,IF('Кабельные вводы'!R62="Х",'Кабельные вводы'!M28,IF('Кабельные вводы'!R50="Х",'Кабельные вводы'!G28,IF(NOT('Кабельные вводы'!Q91=1),'Кабельные вводы'!P28,CONCATENATE(I8,Клеммы!A49," - ",'Кабельные вводы'!A71," ",Габариты!N4," , ","ЦКЛГ.685631.000 ТУ","  ",Клеммы!C97," ",'Кабельные вводы'!A98," ",Клеммы!E94)))))))))</f>
        <v xml:space="preserve">ККВ - 1 -  ЦКЛГ.685631.000 , ЦКЛГ.685631.000 ТУ    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6"/>
      <c r="T84" s="16"/>
      <c r="U84" s="16"/>
      <c r="V84" s="7"/>
      <c r="W84" s="7"/>
      <c r="X84" s="7"/>
      <c r="Y84" s="7"/>
      <c r="Z84" s="7"/>
      <c r="AA84" s="7"/>
      <c r="AB84" s="7"/>
      <c r="AC84" s="7"/>
    </row>
    <row r="85" spans="1:29" ht="18" customHeight="1" x14ac:dyDescent="0.25">
      <c r="A85" s="177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9"/>
      <c r="T85" s="17"/>
      <c r="U85" s="17"/>
      <c r="V85" s="17"/>
      <c r="W85" s="17"/>
      <c r="X85" s="17"/>
      <c r="Y85" s="7"/>
      <c r="Z85" s="7"/>
      <c r="AA85" s="7"/>
      <c r="AB85" s="7"/>
      <c r="AC85" s="7"/>
    </row>
    <row r="86" spans="1:29" ht="18" customHeight="1" x14ac:dyDescent="0.25">
      <c r="A86" s="177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9"/>
      <c r="T86" s="18"/>
      <c r="U86" s="18"/>
      <c r="V86" s="7"/>
      <c r="W86" s="7"/>
      <c r="X86" s="7"/>
      <c r="Y86" s="7"/>
      <c r="Z86" s="7"/>
      <c r="AA86" s="7"/>
      <c r="AB86" s="7"/>
      <c r="AC86" s="7"/>
    </row>
    <row r="87" spans="1:29" ht="18" customHeight="1" x14ac:dyDescent="0.25">
      <c r="A87" s="177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9"/>
      <c r="T87" s="13"/>
      <c r="U87" s="13"/>
      <c r="V87" s="7"/>
      <c r="W87" s="7"/>
      <c r="X87" s="7"/>
      <c r="Y87" s="7"/>
      <c r="Z87" s="7"/>
      <c r="AA87" s="7"/>
      <c r="AB87" s="7"/>
      <c r="AC87" s="7"/>
    </row>
    <row r="88" spans="1:29" ht="18" customHeight="1" thickBot="1" x14ac:dyDescent="0.3">
      <c r="A88" s="180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2"/>
      <c r="T88" s="13"/>
      <c r="U88" s="13"/>
      <c r="V88" s="7"/>
      <c r="W88" s="7"/>
      <c r="X88" s="7"/>
      <c r="Y88" s="7"/>
      <c r="Z88" s="7"/>
      <c r="AA88" s="7"/>
      <c r="AB88" s="7"/>
      <c r="AC88" s="7"/>
    </row>
    <row r="89" spans="1:29" ht="18" customHeight="1" x14ac:dyDescent="0.25">
      <c r="A89" s="137"/>
      <c r="B89" s="12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"/>
      <c r="U89" s="13"/>
      <c r="V89" s="7"/>
      <c r="W89" s="7"/>
      <c r="X89" s="7"/>
      <c r="Y89" s="7"/>
      <c r="Z89" s="7"/>
      <c r="AA89" s="7"/>
      <c r="AB89" s="7"/>
      <c r="AC89" s="7"/>
    </row>
    <row r="90" spans="1:29" ht="18" customHeight="1" x14ac:dyDescent="0.25">
      <c r="A90" s="317" t="s">
        <v>204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13"/>
      <c r="U90" s="13"/>
      <c r="V90" s="7"/>
      <c r="W90" s="7"/>
      <c r="X90" s="7"/>
      <c r="Y90" s="7"/>
      <c r="Z90" s="7"/>
      <c r="AA90" s="7"/>
      <c r="AB90" s="7"/>
      <c r="AC90" s="7"/>
    </row>
    <row r="91" spans="1:29" ht="18" customHeight="1" x14ac:dyDescent="0.25">
      <c r="A91" s="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7"/>
      <c r="W91" s="7"/>
      <c r="X91" s="7"/>
      <c r="Y91" s="7"/>
      <c r="Z91" s="7"/>
      <c r="AA91" s="7"/>
      <c r="AB91" s="7"/>
      <c r="AC91" s="7"/>
    </row>
    <row r="92" spans="1:29" ht="18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8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8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8" customHeight="1" x14ac:dyDescent="0.25">
      <c r="A95" s="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7"/>
      <c r="AA95" s="7"/>
      <c r="AB95" s="7"/>
      <c r="AC95" s="7"/>
    </row>
    <row r="96" spans="1:29" ht="18" customHeight="1" x14ac:dyDescent="0.25">
      <c r="A96" s="7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7"/>
      <c r="AA96" s="7"/>
      <c r="AB96" s="7"/>
      <c r="AC96" s="7"/>
    </row>
    <row r="97" spans="1:29" ht="18" customHeight="1" x14ac:dyDescent="0.25">
      <c r="A97" s="7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7"/>
      <c r="AA97" s="7"/>
      <c r="AB97" s="7"/>
      <c r="AC97" s="7"/>
    </row>
    <row r="98" spans="1:29" ht="18" customHeight="1" x14ac:dyDescent="0.2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19"/>
      <c r="U98" s="19"/>
      <c r="V98" s="19"/>
      <c r="W98" s="19"/>
      <c r="X98" s="19"/>
      <c r="Y98" s="19"/>
      <c r="Z98" s="7"/>
      <c r="AA98" s="7"/>
      <c r="AB98" s="7"/>
      <c r="AC98" s="7"/>
    </row>
    <row r="99" spans="1:29" ht="18" customHeight="1" x14ac:dyDescent="0.2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19"/>
      <c r="U99" s="19"/>
      <c r="V99" s="19"/>
      <c r="W99" s="19"/>
      <c r="X99" s="19"/>
      <c r="Y99" s="19"/>
      <c r="Z99" s="7"/>
      <c r="AA99" s="7"/>
      <c r="AB99" s="7"/>
      <c r="AC99" s="7"/>
    </row>
    <row r="100" spans="1:29" ht="18" customHeight="1" x14ac:dyDescent="0.2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19"/>
      <c r="U100" s="19"/>
      <c r="V100" s="19"/>
      <c r="W100" s="19"/>
      <c r="X100" s="19"/>
      <c r="Y100" s="19"/>
      <c r="Z100" s="7"/>
      <c r="AA100" s="7"/>
      <c r="AB100" s="7"/>
      <c r="AC100" s="7"/>
    </row>
    <row r="101" spans="1:29" ht="18" customHeight="1" x14ac:dyDescent="0.2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19"/>
      <c r="U101" s="19"/>
      <c r="V101" s="19"/>
      <c r="W101" s="19"/>
      <c r="X101" s="19"/>
      <c r="Y101" s="19"/>
      <c r="Z101" s="7"/>
      <c r="AA101" s="7"/>
      <c r="AB101" s="7"/>
      <c r="AC101" s="7"/>
    </row>
    <row r="102" spans="1:29" ht="18" customHeight="1" x14ac:dyDescent="0.2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19"/>
      <c r="U102" s="19"/>
      <c r="V102" s="19"/>
      <c r="W102" s="19"/>
      <c r="X102" s="19"/>
      <c r="Y102" s="19"/>
      <c r="Z102" s="7"/>
      <c r="AA102" s="7"/>
      <c r="AB102" s="7"/>
      <c r="AC102" s="7"/>
    </row>
    <row r="103" spans="1:29" ht="18" customHeight="1" x14ac:dyDescent="0.25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19"/>
      <c r="U103" s="19"/>
      <c r="V103" s="19"/>
      <c r="W103" s="19"/>
      <c r="X103" s="19"/>
      <c r="Y103" s="19"/>
      <c r="Z103" s="7"/>
      <c r="AA103" s="7"/>
      <c r="AB103" s="7"/>
      <c r="AC103" s="7"/>
    </row>
    <row r="104" spans="1:29" ht="18" customHeight="1" x14ac:dyDescent="0.2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19"/>
      <c r="U104" s="19"/>
      <c r="V104" s="19"/>
      <c r="W104" s="19"/>
      <c r="X104" s="19"/>
      <c r="Y104" s="19"/>
      <c r="Z104" s="7"/>
      <c r="AA104" s="7"/>
      <c r="AB104" s="7"/>
      <c r="AC104" s="7"/>
    </row>
    <row r="105" spans="1:29" ht="18" customHeight="1" x14ac:dyDescent="0.2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19"/>
      <c r="U105" s="19"/>
      <c r="V105" s="19"/>
      <c r="W105" s="19"/>
      <c r="X105" s="19"/>
      <c r="Y105" s="19"/>
      <c r="Z105" s="7"/>
      <c r="AA105" s="7"/>
      <c r="AB105" s="7"/>
      <c r="AC105" s="7"/>
    </row>
    <row r="106" spans="1:29" ht="18" customHeight="1" x14ac:dyDescent="0.2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19"/>
      <c r="U106" s="19"/>
      <c r="V106" s="19"/>
      <c r="W106" s="19"/>
      <c r="X106" s="19"/>
      <c r="Y106" s="19"/>
      <c r="Z106" s="7"/>
      <c r="AA106" s="7"/>
      <c r="AB106" s="7"/>
      <c r="AC106" s="7"/>
    </row>
    <row r="107" spans="1:29" ht="18" customHeight="1" x14ac:dyDescent="0.2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1"/>
      <c r="U107" s="1"/>
      <c r="V107" s="1"/>
      <c r="W107" s="1"/>
      <c r="X107" s="1"/>
      <c r="Y107" s="1"/>
      <c r="AB107" s="7"/>
      <c r="AC107" s="7"/>
    </row>
    <row r="108" spans="1:29" ht="15" customHeight="1" x14ac:dyDescent="0.2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1"/>
      <c r="U108" s="1"/>
      <c r="V108" s="1"/>
      <c r="W108" s="1"/>
      <c r="X108" s="1"/>
      <c r="Y108" s="1"/>
      <c r="AB108" s="7"/>
      <c r="AC108" s="7"/>
    </row>
    <row r="109" spans="1:29" ht="15" customHeight="1" x14ac:dyDescent="0.2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1"/>
      <c r="U109" s="1"/>
      <c r="V109" s="1"/>
      <c r="W109" s="1"/>
      <c r="X109" s="1"/>
      <c r="Y109" s="1"/>
      <c r="AB109" s="7"/>
      <c r="AC109" s="7"/>
    </row>
    <row r="110" spans="1:29" ht="15" customHeight="1" x14ac:dyDescent="0.2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1"/>
      <c r="U110" s="1"/>
      <c r="V110" s="1"/>
      <c r="W110" s="1"/>
      <c r="X110" s="1"/>
      <c r="Y110" s="1"/>
    </row>
    <row r="111" spans="1:29" ht="15" customHeight="1" x14ac:dyDescent="0.2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1"/>
      <c r="U111" s="1"/>
      <c r="V111" s="1"/>
      <c r="W111" s="1"/>
      <c r="X111" s="1"/>
      <c r="Y111" s="1"/>
    </row>
    <row r="112" spans="1:29" ht="15" customHeight="1" x14ac:dyDescent="0.2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</row>
    <row r="113" spans="1:19" ht="15" customHeight="1" x14ac:dyDescent="0.2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</row>
    <row r="114" spans="1:19" ht="15" customHeight="1" x14ac:dyDescent="0.2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</row>
    <row r="115" spans="1:19" ht="15" customHeight="1" x14ac:dyDescent="0.2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</row>
    <row r="116" spans="1:19" ht="15" customHeight="1" x14ac:dyDescent="0.25">
      <c r="A116" s="4"/>
      <c r="B116" s="2"/>
      <c r="C116" s="2"/>
      <c r="D116" s="2"/>
      <c r="E116" s="2"/>
      <c r="F116" s="2"/>
      <c r="G116" s="2"/>
      <c r="H116" s="5"/>
      <c r="I116" s="5"/>
      <c r="J116" s="5"/>
      <c r="K116" s="5"/>
      <c r="L116" s="4"/>
      <c r="M116" s="4"/>
      <c r="N116" s="4"/>
      <c r="O116" s="4"/>
      <c r="P116" s="4"/>
    </row>
    <row r="117" spans="1:19" ht="15" customHeight="1" x14ac:dyDescent="0.25">
      <c r="A117" s="4"/>
      <c r="B117" s="2"/>
      <c r="C117" s="2"/>
      <c r="D117" s="2"/>
      <c r="E117" s="2"/>
      <c r="F117" s="2"/>
      <c r="G117" s="2"/>
      <c r="H117" s="5"/>
      <c r="I117" s="5"/>
      <c r="J117" s="5"/>
      <c r="K117" s="5"/>
      <c r="L117" s="4"/>
      <c r="M117" s="4"/>
      <c r="N117" s="4"/>
      <c r="O117" s="4"/>
      <c r="P117" s="4"/>
    </row>
    <row r="118" spans="1:19" ht="15" customHeight="1" x14ac:dyDescent="0.25">
      <c r="A118" s="4"/>
      <c r="B118" s="2"/>
      <c r="C118" s="2"/>
      <c r="D118" s="2"/>
      <c r="E118" s="2"/>
      <c r="F118" s="2"/>
      <c r="G118" s="2"/>
      <c r="H118" s="5"/>
      <c r="I118" s="5"/>
      <c r="J118" s="5"/>
      <c r="K118" s="5"/>
      <c r="L118" s="4"/>
      <c r="M118" s="4"/>
      <c r="N118" s="4"/>
      <c r="O118" s="4"/>
      <c r="P118" s="4"/>
    </row>
    <row r="119" spans="1:19" ht="15" customHeight="1" x14ac:dyDescent="0.25">
      <c r="A119" s="4"/>
      <c r="B119" s="2"/>
      <c r="C119" s="2"/>
      <c r="D119" s="2"/>
      <c r="E119" s="2"/>
      <c r="F119" s="2"/>
      <c r="G119" s="2"/>
      <c r="H119" s="5"/>
      <c r="I119" s="5"/>
      <c r="J119" s="5"/>
      <c r="K119" s="5"/>
      <c r="L119" s="4"/>
      <c r="M119" s="4"/>
      <c r="N119" s="4"/>
      <c r="O119" s="4"/>
      <c r="P119" s="4"/>
    </row>
    <row r="120" spans="1:19" ht="15" customHeight="1" x14ac:dyDescent="0.25">
      <c r="A120" s="4"/>
      <c r="B120" s="2"/>
      <c r="C120" s="2"/>
      <c r="D120" s="2"/>
      <c r="E120" s="2"/>
      <c r="F120" s="2"/>
      <c r="G120" s="2"/>
      <c r="H120" s="5"/>
      <c r="I120" s="5"/>
      <c r="J120" s="5"/>
      <c r="K120" s="5"/>
      <c r="L120" s="4"/>
      <c r="M120" s="4"/>
      <c r="N120" s="4"/>
      <c r="O120" s="4"/>
      <c r="P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</sheetData>
  <sheetProtection password="CC57" sheet="1" objects="1" scenarios="1"/>
  <mergeCells count="222">
    <mergeCell ref="H8:H10"/>
    <mergeCell ref="B6:H7"/>
    <mergeCell ref="A90:S90"/>
    <mergeCell ref="A98:S106"/>
    <mergeCell ref="A107:S115"/>
    <mergeCell ref="A1:S1"/>
    <mergeCell ref="A82:S83"/>
    <mergeCell ref="B23:D23"/>
    <mergeCell ref="B24:D24"/>
    <mergeCell ref="B25:D25"/>
    <mergeCell ref="B26:D26"/>
    <mergeCell ref="B27:D27"/>
    <mergeCell ref="B58:D58"/>
    <mergeCell ref="A32:A33"/>
    <mergeCell ref="L8:M11"/>
    <mergeCell ref="N8:P11"/>
    <mergeCell ref="Q8:S11"/>
    <mergeCell ref="A8:A11"/>
    <mergeCell ref="B8:D10"/>
    <mergeCell ref="E8:G10"/>
    <mergeCell ref="L6:M7"/>
    <mergeCell ref="A2:S3"/>
    <mergeCell ref="A4:S5"/>
    <mergeCell ref="I6:K7"/>
    <mergeCell ref="I8:K11"/>
    <mergeCell ref="B11:D11"/>
    <mergeCell ref="A6:A7"/>
    <mergeCell ref="N6:P7"/>
    <mergeCell ref="Q6:S7"/>
    <mergeCell ref="E11:G11"/>
    <mergeCell ref="A15:A18"/>
    <mergeCell ref="H20:J20"/>
    <mergeCell ref="B15:J17"/>
    <mergeCell ref="E19:G19"/>
    <mergeCell ref="B18:D18"/>
    <mergeCell ref="H18:J18"/>
    <mergeCell ref="H19:J19"/>
    <mergeCell ref="E18:G18"/>
    <mergeCell ref="L19:M19"/>
    <mergeCell ref="L20:M20"/>
    <mergeCell ref="P19:Q19"/>
    <mergeCell ref="P20:Q20"/>
    <mergeCell ref="R19:S19"/>
    <mergeCell ref="R20:S20"/>
    <mergeCell ref="E20:G20"/>
    <mergeCell ref="L15:M18"/>
    <mergeCell ref="N15:O18"/>
    <mergeCell ref="N19:O19"/>
    <mergeCell ref="P28:Q28"/>
    <mergeCell ref="N20:O20"/>
    <mergeCell ref="A12:S14"/>
    <mergeCell ref="R22:S22"/>
    <mergeCell ref="K15:K18"/>
    <mergeCell ref="E21:G21"/>
    <mergeCell ref="H21:J21"/>
    <mergeCell ref="E22:G22"/>
    <mergeCell ref="B19:D19"/>
    <mergeCell ref="B20:D20"/>
    <mergeCell ref="B21:D21"/>
    <mergeCell ref="B22:D22"/>
    <mergeCell ref="H22:J22"/>
    <mergeCell ref="K19:K28"/>
    <mergeCell ref="H26:J26"/>
    <mergeCell ref="H23:J23"/>
    <mergeCell ref="H24:J24"/>
    <mergeCell ref="H25:J25"/>
    <mergeCell ref="E26:G26"/>
    <mergeCell ref="R25:S25"/>
    <mergeCell ref="R26:S26"/>
    <mergeCell ref="R27:S27"/>
    <mergeCell ref="R28:S28"/>
    <mergeCell ref="H27:J27"/>
    <mergeCell ref="E27:G27"/>
    <mergeCell ref="L25:M25"/>
    <mergeCell ref="L26:M26"/>
    <mergeCell ref="L27:M27"/>
    <mergeCell ref="N25:O25"/>
    <mergeCell ref="N26:O26"/>
    <mergeCell ref="N27:O27"/>
    <mergeCell ref="P23:Q23"/>
    <mergeCell ref="P24:Q24"/>
    <mergeCell ref="P25:Q25"/>
    <mergeCell ref="E25:G25"/>
    <mergeCell ref="P26:Q26"/>
    <mergeCell ref="P27:Q27"/>
    <mergeCell ref="R21:S21"/>
    <mergeCell ref="E24:G24"/>
    <mergeCell ref="E23:G23"/>
    <mergeCell ref="L21:M21"/>
    <mergeCell ref="L22:M22"/>
    <mergeCell ref="L23:M23"/>
    <mergeCell ref="R24:S24"/>
    <mergeCell ref="P15:Q18"/>
    <mergeCell ref="R15:S18"/>
    <mergeCell ref="N24:O24"/>
    <mergeCell ref="L24:M24"/>
    <mergeCell ref="N21:O21"/>
    <mergeCell ref="N22:O22"/>
    <mergeCell ref="N23:O23"/>
    <mergeCell ref="R23:S23"/>
    <mergeCell ref="P21:Q21"/>
    <mergeCell ref="P22:Q22"/>
    <mergeCell ref="P58:Q58"/>
    <mergeCell ref="B28:D28"/>
    <mergeCell ref="H28:J28"/>
    <mergeCell ref="E28:G28"/>
    <mergeCell ref="M49:O50"/>
    <mergeCell ref="E55:G55"/>
    <mergeCell ref="H51:L51"/>
    <mergeCell ref="B52:D52"/>
    <mergeCell ref="E52:G52"/>
    <mergeCell ref="E58:G58"/>
    <mergeCell ref="M52:O52"/>
    <mergeCell ref="P52:Q52"/>
    <mergeCell ref="H52:L52"/>
    <mergeCell ref="P49:Q50"/>
    <mergeCell ref="P51:Q51"/>
    <mergeCell ref="P53:Q53"/>
    <mergeCell ref="H53:L53"/>
    <mergeCell ref="P54:Q54"/>
    <mergeCell ref="H54:L54"/>
    <mergeCell ref="A29:S30"/>
    <mergeCell ref="A31:K31"/>
    <mergeCell ref="N28:O28"/>
    <mergeCell ref="B49:D50"/>
    <mergeCell ref="L28:M28"/>
    <mergeCell ref="J76:L76"/>
    <mergeCell ref="J77:L77"/>
    <mergeCell ref="E53:G53"/>
    <mergeCell ref="A59:Q60"/>
    <mergeCell ref="B51:D51"/>
    <mergeCell ref="E51:G51"/>
    <mergeCell ref="M51:O51"/>
    <mergeCell ref="B56:D56"/>
    <mergeCell ref="E56:G56"/>
    <mergeCell ref="B57:D57"/>
    <mergeCell ref="E57:G57"/>
    <mergeCell ref="M53:O53"/>
    <mergeCell ref="M54:O54"/>
    <mergeCell ref="M55:O55"/>
    <mergeCell ref="P55:Q55"/>
    <mergeCell ref="H55:L55"/>
    <mergeCell ref="M56:O56"/>
    <mergeCell ref="P56:Q56"/>
    <mergeCell ref="H56:L56"/>
    <mergeCell ref="B55:D55"/>
    <mergeCell ref="M57:O57"/>
    <mergeCell ref="B53:D53"/>
    <mergeCell ref="B54:D54"/>
    <mergeCell ref="M58:O58"/>
    <mergeCell ref="G77:I77"/>
    <mergeCell ref="G78:I78"/>
    <mergeCell ref="G79:I79"/>
    <mergeCell ref="A49:A50"/>
    <mergeCell ref="H49:L50"/>
    <mergeCell ref="J78:L78"/>
    <mergeCell ref="J79:L79"/>
    <mergeCell ref="D78:F78"/>
    <mergeCell ref="D79:F79"/>
    <mergeCell ref="F69:L69"/>
    <mergeCell ref="A61:L61"/>
    <mergeCell ref="A62:E62"/>
    <mergeCell ref="A63:E63"/>
    <mergeCell ref="A64:E64"/>
    <mergeCell ref="A65:E65"/>
    <mergeCell ref="A66:E66"/>
    <mergeCell ref="A67:E67"/>
    <mergeCell ref="A68:E68"/>
    <mergeCell ref="A69:E69"/>
    <mergeCell ref="F62:L62"/>
    <mergeCell ref="F63:L63"/>
    <mergeCell ref="F64:L64"/>
    <mergeCell ref="J74:L74"/>
    <mergeCell ref="J75:L75"/>
    <mergeCell ref="B42:K42"/>
    <mergeCell ref="B43:K43"/>
    <mergeCell ref="A44:K48"/>
    <mergeCell ref="D72:F72"/>
    <mergeCell ref="G72:I72"/>
    <mergeCell ref="J72:L72"/>
    <mergeCell ref="B71:L71"/>
    <mergeCell ref="B72:C72"/>
    <mergeCell ref="G73:I73"/>
    <mergeCell ref="J73:L73"/>
    <mergeCell ref="H57:L57"/>
    <mergeCell ref="B73:C73"/>
    <mergeCell ref="E54:G54"/>
    <mergeCell ref="E49:G50"/>
    <mergeCell ref="D73:F73"/>
    <mergeCell ref="B32:K33"/>
    <mergeCell ref="B34:K34"/>
    <mergeCell ref="B35:K35"/>
    <mergeCell ref="B36:K36"/>
    <mergeCell ref="B37:K37"/>
    <mergeCell ref="B38:K38"/>
    <mergeCell ref="B39:K39"/>
    <mergeCell ref="B40:K40"/>
    <mergeCell ref="B41:K41"/>
    <mergeCell ref="G80:I80"/>
    <mergeCell ref="F65:L65"/>
    <mergeCell ref="F66:L66"/>
    <mergeCell ref="F67:L67"/>
    <mergeCell ref="F68:L68"/>
    <mergeCell ref="P57:Q57"/>
    <mergeCell ref="A71:A72"/>
    <mergeCell ref="A84:S88"/>
    <mergeCell ref="D80:F80"/>
    <mergeCell ref="B74:C74"/>
    <mergeCell ref="B75:C75"/>
    <mergeCell ref="B76:C76"/>
    <mergeCell ref="B77:C77"/>
    <mergeCell ref="B78:C78"/>
    <mergeCell ref="B79:C79"/>
    <mergeCell ref="B80:C80"/>
    <mergeCell ref="D74:F74"/>
    <mergeCell ref="D75:F75"/>
    <mergeCell ref="D76:F76"/>
    <mergeCell ref="D77:F77"/>
    <mergeCell ref="J80:L80"/>
    <mergeCell ref="G74:I74"/>
    <mergeCell ref="G75:I75"/>
    <mergeCell ref="G76:I76"/>
  </mergeCells>
  <dataValidations count="4">
    <dataValidation type="whole" allowBlank="1" showInputMessage="1" showErrorMessage="1" promptTitle="Сообщение" prompt="Введите число" sqref="B81:L81">
      <formula1>0</formula1>
      <formula2>1000</formula2>
    </dataValidation>
    <dataValidation allowBlank="1" showInputMessage="1" showErrorMessage="1" promptTitle="Сообщение" prompt="Введите данные" sqref="B34:K43"/>
    <dataValidation type="whole" allowBlank="1" showInputMessage="1" showErrorMessage="1" errorTitle="Сообщение" error="Введите число" promptTitle="Сообщение" prompt="Введите количество требумых клемм" sqref="H19:J28">
      <formula1>1</formula1>
      <formula2>1000</formula2>
    </dataValidation>
    <dataValidation type="whole" allowBlank="1" showInputMessage="1" showErrorMessage="1" errorTitle="Сообщение" error="Введите число" promptTitle="Сообщение" prompt="Введите количество необходимых кабельных вводов" sqref="B73:L80">
      <formula1>1</formula1>
      <formula2>1000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3</xdr:col>
                    <xdr:colOff>523875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Drop Down 9">
              <controlPr defaultSize="0" autoLine="0" autoPict="0">
                <anchor moveWithCells="1">
                  <from>
                    <xdr:col>1</xdr:col>
                    <xdr:colOff>19050</xdr:colOff>
                    <xdr:row>20</xdr:row>
                    <xdr:rowOff>9525</xdr:rowOff>
                  </from>
                  <to>
                    <xdr:col>3</xdr:col>
                    <xdr:colOff>523875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3</xdr:col>
                    <xdr:colOff>523875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Drop Down 11">
              <controlPr defaultSize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3</xdr:col>
                    <xdr:colOff>523875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Drop Down 12">
              <controlPr defaultSize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3</xdr:col>
                    <xdr:colOff>523875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Drop Down 13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523875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Drop Down 14">
              <controlPr defaultSize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3</xdr:col>
                    <xdr:colOff>523875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Drop Down 15">
              <controlPr defaultSize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3</xdr:col>
                    <xdr:colOff>523875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Drop Down 35">
              <controlPr defaultSize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3</xdr:col>
                    <xdr:colOff>523875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3" name="Drop Down 76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10</xdr:col>
                    <xdr:colOff>1057275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4" name="Drop Down 80">
              <controlPr defaultSize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3</xdr:col>
                    <xdr:colOff>514350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5" name="Drop Down 84">
              <controlPr defaultSize="0" autoLine="0" autoPict="0">
                <anchor moveWithCells="1">
                  <from>
                    <xdr:col>7</xdr:col>
                    <xdr:colOff>19050</xdr:colOff>
                    <xdr:row>50</xdr:row>
                    <xdr:rowOff>19050</xdr:rowOff>
                  </from>
                  <to>
                    <xdr:col>11</xdr:col>
                    <xdr:colOff>361950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6" name="Drop Down 86">
              <controlPr defaultSize="0" autoLine="0" autoPict="0">
                <anchor moveWithCells="1">
                  <from>
                    <xdr:col>1</xdr:col>
                    <xdr:colOff>9525</xdr:colOff>
                    <xdr:row>51</xdr:row>
                    <xdr:rowOff>9525</xdr:rowOff>
                  </from>
                  <to>
                    <xdr:col>3</xdr:col>
                    <xdr:colOff>514350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7" name="Drop Down 89">
              <controlPr defaultSize="0" autoLine="0" autoPict="0">
                <anchor moveWithCells="1">
                  <from>
                    <xdr:col>1</xdr:col>
                    <xdr:colOff>9525</xdr:colOff>
                    <xdr:row>52</xdr:row>
                    <xdr:rowOff>9525</xdr:rowOff>
                  </from>
                  <to>
                    <xdr:col>3</xdr:col>
                    <xdr:colOff>514350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8" name="Drop Down 92">
              <controlPr defaultSize="0" autoLine="0" autoPict="0">
                <anchor moveWithCells="1">
                  <from>
                    <xdr:col>1</xdr:col>
                    <xdr:colOff>9525</xdr:colOff>
                    <xdr:row>53</xdr:row>
                    <xdr:rowOff>9525</xdr:rowOff>
                  </from>
                  <to>
                    <xdr:col>3</xdr:col>
                    <xdr:colOff>514350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9" name="Drop Down 95">
              <controlPr defaultSize="0" autoLine="0" autoPict="0">
                <anchor moveWithCells="1">
                  <from>
                    <xdr:col>1</xdr:col>
                    <xdr:colOff>9525</xdr:colOff>
                    <xdr:row>54</xdr:row>
                    <xdr:rowOff>9525</xdr:rowOff>
                  </from>
                  <to>
                    <xdr:col>3</xdr:col>
                    <xdr:colOff>514350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0" name="Drop Down 98">
              <controlPr defaultSize="0" autoLine="0" autoPict="0">
                <anchor moveWithCells="1">
                  <from>
                    <xdr:col>1</xdr:col>
                    <xdr:colOff>9525</xdr:colOff>
                    <xdr:row>55</xdr:row>
                    <xdr:rowOff>9525</xdr:rowOff>
                  </from>
                  <to>
                    <xdr:col>3</xdr:col>
                    <xdr:colOff>514350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1" name="Drop Down 101">
              <controlPr defaultSize="0" autoLine="0" autoPict="0">
                <anchor moveWithCells="1">
                  <from>
                    <xdr:col>1</xdr:col>
                    <xdr:colOff>9525</xdr:colOff>
                    <xdr:row>56</xdr:row>
                    <xdr:rowOff>9525</xdr:rowOff>
                  </from>
                  <to>
                    <xdr:col>3</xdr:col>
                    <xdr:colOff>514350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2" name="Drop Down 104">
              <controlPr defaultSize="0" autoLine="0" autoPict="0">
                <anchor moveWithCells="1">
                  <from>
                    <xdr:col>1</xdr:col>
                    <xdr:colOff>9525</xdr:colOff>
                    <xdr:row>57</xdr:row>
                    <xdr:rowOff>9525</xdr:rowOff>
                  </from>
                  <to>
                    <xdr:col>3</xdr:col>
                    <xdr:colOff>514350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3" name="Drop Down 108">
              <controlPr defaultSize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11</xdr:col>
                    <xdr:colOff>361950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4" name="Drop Down 111">
              <controlPr defaultSize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11</xdr:col>
                    <xdr:colOff>361950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25" name="Drop Down 114">
              <controlPr defaultSize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11</xdr:col>
                    <xdr:colOff>361950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6" name="Drop Down 117">
              <controlPr defaultSize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11</xdr:col>
                    <xdr:colOff>361950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27" name="Drop Down 120">
              <controlPr defaultSize="0" autoLine="0" autoPict="0">
                <anchor moveWithCells="1">
                  <from>
                    <xdr:col>7</xdr:col>
                    <xdr:colOff>19050</xdr:colOff>
                    <xdr:row>55</xdr:row>
                    <xdr:rowOff>19050</xdr:rowOff>
                  </from>
                  <to>
                    <xdr:col>11</xdr:col>
                    <xdr:colOff>361950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8" name="Drop Down 123">
              <controlPr defaultSize="0" autoLine="0" autoPict="0">
                <anchor moveWithCells="1">
                  <from>
                    <xdr:col>7</xdr:col>
                    <xdr:colOff>19050</xdr:colOff>
                    <xdr:row>56</xdr:row>
                    <xdr:rowOff>19050</xdr:rowOff>
                  </from>
                  <to>
                    <xdr:col>11</xdr:col>
                    <xdr:colOff>361950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29" name="Drop Down 129">
              <controlPr defaultSize="0" autoLine="0" autoPict="0">
                <anchor moveWithCells="1">
                  <from>
                    <xdr:col>7</xdr:col>
                    <xdr:colOff>19050</xdr:colOff>
                    <xdr:row>57</xdr:row>
                    <xdr:rowOff>19050</xdr:rowOff>
                  </from>
                  <to>
                    <xdr:col>11</xdr:col>
                    <xdr:colOff>361950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30" name="Drop Down 130">
              <controlPr defaultSize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3</xdr:col>
                    <xdr:colOff>523875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1" name="Drop Down 132">
              <controlPr defaultSize="0" autoLine="0" autoPict="0">
                <anchor moveWithCells="1">
                  <from>
                    <xdr:col>1</xdr:col>
                    <xdr:colOff>19050</xdr:colOff>
                    <xdr:row>19</xdr:row>
                    <xdr:rowOff>9525</xdr:rowOff>
                  </from>
                  <to>
                    <xdr:col>3</xdr:col>
                    <xdr:colOff>523875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2" name="Check Box 133">
              <controlPr defaultSize="0" autoFill="0" autoLine="0" autoPict="0" altText="1">
                <anchor moveWithCells="1">
                  <from>
                    <xdr:col>0</xdr:col>
                    <xdr:colOff>47625</xdr:colOff>
                    <xdr:row>44</xdr:row>
                    <xdr:rowOff>85725</xdr:rowOff>
                  </from>
                  <to>
                    <xdr:col>0</xdr:col>
                    <xdr:colOff>276225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3" name="Check Box 134">
              <controlPr defaultSize="0" autoFill="0" autoLine="0" autoPict="0" altText="1">
                <anchor moveWithCells="1">
                  <from>
                    <xdr:col>0</xdr:col>
                    <xdr:colOff>47625</xdr:colOff>
                    <xdr:row>45</xdr:row>
                    <xdr:rowOff>0</xdr:rowOff>
                  </from>
                  <to>
                    <xdr:col>0</xdr:col>
                    <xdr:colOff>276225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4" name="Check Box 135">
              <controlPr defaultSize="0" autoFill="0" autoLine="0" autoPict="0" altText="1">
                <anchor moveWithCells="1">
                  <from>
                    <xdr:col>0</xdr:col>
                    <xdr:colOff>38100</xdr:colOff>
                    <xdr:row>46</xdr:row>
                    <xdr:rowOff>104775</xdr:rowOff>
                  </from>
                  <to>
                    <xdr:col>0</xdr:col>
                    <xdr:colOff>266700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35" name="Check Box 136">
              <controlPr defaultSize="0" autoFill="0" autoLine="0" autoPict="0" altText="1">
                <anchor moveWithCells="1">
                  <from>
                    <xdr:col>0</xdr:col>
                    <xdr:colOff>38100</xdr:colOff>
                    <xdr:row>47</xdr:row>
                    <xdr:rowOff>19050</xdr:rowOff>
                  </from>
                  <to>
                    <xdr:col>0</xdr:col>
                    <xdr:colOff>266700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31"/>
  <sheetViews>
    <sheetView workbookViewId="0">
      <selection activeCell="D30" sqref="D30"/>
    </sheetView>
  </sheetViews>
  <sheetFormatPr defaultRowHeight="15" x14ac:dyDescent="0.25"/>
  <cols>
    <col min="1" max="1" width="15.140625" customWidth="1"/>
    <col min="3" max="3" width="10.28515625" bestFit="1" customWidth="1"/>
    <col min="8" max="8" width="9.140625" customWidth="1"/>
  </cols>
  <sheetData>
    <row r="1" spans="1:24" ht="18.75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30" customHeight="1" thickBot="1" x14ac:dyDescent="0.3">
      <c r="A2" s="423" t="s">
        <v>0</v>
      </c>
      <c r="B2" s="372" t="s">
        <v>1</v>
      </c>
      <c r="C2" s="373"/>
      <c r="D2" s="374"/>
      <c r="E2" s="372" t="s">
        <v>5</v>
      </c>
      <c r="F2" s="373"/>
      <c r="G2" s="374"/>
      <c r="H2" s="425" t="s">
        <v>9</v>
      </c>
      <c r="I2" s="362" t="s">
        <v>72</v>
      </c>
      <c r="J2" s="364"/>
      <c r="K2" s="362" t="s">
        <v>62</v>
      </c>
      <c r="L2" s="363"/>
      <c r="M2" s="364"/>
      <c r="N2" s="362" t="s">
        <v>107</v>
      </c>
      <c r="O2" s="363"/>
      <c r="P2" s="364"/>
      <c r="Q2" s="21"/>
      <c r="R2" s="21"/>
      <c r="S2" s="21"/>
      <c r="T2" s="21"/>
      <c r="U2" s="21"/>
      <c r="V2" s="21"/>
      <c r="W2" s="21"/>
      <c r="X2" s="21"/>
    </row>
    <row r="3" spans="1:24" ht="36.75" thickBot="1" x14ac:dyDescent="0.3">
      <c r="A3" s="424"/>
      <c r="B3" s="22" t="s">
        <v>2</v>
      </c>
      <c r="C3" s="23" t="s">
        <v>3</v>
      </c>
      <c r="D3" s="22" t="s">
        <v>4</v>
      </c>
      <c r="E3" s="24" t="s">
        <v>6</v>
      </c>
      <c r="F3" s="23" t="s">
        <v>7</v>
      </c>
      <c r="G3" s="23" t="s">
        <v>8</v>
      </c>
      <c r="H3" s="426"/>
      <c r="I3" s="365"/>
      <c r="J3" s="367"/>
      <c r="K3" s="365"/>
      <c r="L3" s="366"/>
      <c r="M3" s="367"/>
      <c r="N3" s="365"/>
      <c r="O3" s="366"/>
      <c r="P3" s="367"/>
      <c r="Q3" s="21"/>
      <c r="R3" s="21"/>
      <c r="S3" s="21"/>
      <c r="T3" s="21"/>
      <c r="U3" s="21"/>
      <c r="V3" s="21"/>
      <c r="W3" s="21"/>
      <c r="X3" s="21"/>
    </row>
    <row r="4" spans="1:24" ht="18" x14ac:dyDescent="0.25">
      <c r="A4" s="25" t="s">
        <v>10</v>
      </c>
      <c r="B4" s="26">
        <v>217</v>
      </c>
      <c r="C4" s="27">
        <v>221</v>
      </c>
      <c r="D4" s="28">
        <v>102</v>
      </c>
      <c r="E4" s="29">
        <v>350</v>
      </c>
      <c r="F4" s="27">
        <v>350</v>
      </c>
      <c r="G4" s="30">
        <v>102</v>
      </c>
      <c r="H4" s="25">
        <v>2.5</v>
      </c>
      <c r="I4" s="395">
        <f>IF(Габариты!I13=1,Габариты!H4,IF(Габариты!I13=2,Габариты!H5,IF(Габариты!I13=3,Габариты!H6,IF(Габариты!I13=4,Габариты!H7,IF(Габариты!I13=5,Габариты!H8,0)))))</f>
        <v>2.5</v>
      </c>
      <c r="J4" s="397"/>
      <c r="K4" s="414" t="str">
        <f>IF(Габариты!I13=1,"ККВ - 1",IF(Габариты!I13=2,"ККВ - 2",IF(Габариты!I13=3,"ККВ - 3",IF(Габариты!I13=4,"ККВ - 4",IF(Габариты!I13=5,"ККВ - 5",0)))))</f>
        <v>ККВ - 1</v>
      </c>
      <c r="L4" s="415"/>
      <c r="M4" s="416"/>
      <c r="N4" s="395" t="str">
        <f>IF(I13=1,A22,IF(I13=2,A23,IF(I13=3,A24,IF(I13=4,A25,IF(I13=5,A26)))))</f>
        <v>ЦКЛГ.685631.000</v>
      </c>
      <c r="O4" s="396"/>
      <c r="P4" s="397"/>
      <c r="Q4" s="21"/>
      <c r="R4" s="21"/>
      <c r="S4" s="21"/>
      <c r="T4" s="21"/>
      <c r="U4" s="21"/>
      <c r="V4" s="21"/>
      <c r="W4" s="21"/>
      <c r="X4" s="21"/>
    </row>
    <row r="5" spans="1:24" ht="18" x14ac:dyDescent="0.25">
      <c r="A5" s="31" t="s">
        <v>11</v>
      </c>
      <c r="B5" s="32">
        <v>217</v>
      </c>
      <c r="C5" s="33">
        <v>322</v>
      </c>
      <c r="D5" s="34">
        <v>102</v>
      </c>
      <c r="E5" s="35">
        <v>350</v>
      </c>
      <c r="F5" s="33">
        <v>390</v>
      </c>
      <c r="G5" s="36">
        <v>102</v>
      </c>
      <c r="H5" s="31">
        <v>5.8</v>
      </c>
      <c r="I5" s="398"/>
      <c r="J5" s="400"/>
      <c r="K5" s="417"/>
      <c r="L5" s="418"/>
      <c r="M5" s="419"/>
      <c r="N5" s="398"/>
      <c r="O5" s="399"/>
      <c r="P5" s="400"/>
      <c r="Q5" s="21"/>
      <c r="R5" s="21"/>
      <c r="S5" s="21"/>
      <c r="T5" s="21"/>
      <c r="U5" s="21"/>
      <c r="V5" s="21"/>
      <c r="W5" s="21"/>
      <c r="X5" s="21"/>
    </row>
    <row r="6" spans="1:24" ht="18" x14ac:dyDescent="0.25">
      <c r="A6" s="31" t="s">
        <v>12</v>
      </c>
      <c r="B6" s="32">
        <v>137</v>
      </c>
      <c r="C6" s="33">
        <v>117</v>
      </c>
      <c r="D6" s="34">
        <v>76</v>
      </c>
      <c r="E6" s="35">
        <v>137</v>
      </c>
      <c r="F6" s="33">
        <v>270</v>
      </c>
      <c r="G6" s="36">
        <v>76</v>
      </c>
      <c r="H6" s="31">
        <v>1.5</v>
      </c>
      <c r="I6" s="398"/>
      <c r="J6" s="400"/>
      <c r="K6" s="417"/>
      <c r="L6" s="418"/>
      <c r="M6" s="419"/>
      <c r="N6" s="398"/>
      <c r="O6" s="399"/>
      <c r="P6" s="400"/>
      <c r="Q6" s="21"/>
      <c r="R6" s="21"/>
      <c r="S6" s="21"/>
      <c r="T6" s="21"/>
      <c r="U6" s="21"/>
      <c r="V6" s="21"/>
      <c r="W6" s="21"/>
      <c r="X6" s="21"/>
    </row>
    <row r="7" spans="1:24" ht="18" x14ac:dyDescent="0.25">
      <c r="A7" s="31" t="s">
        <v>13</v>
      </c>
      <c r="B7" s="32">
        <v>460</v>
      </c>
      <c r="C7" s="33">
        <v>495</v>
      </c>
      <c r="D7" s="34">
        <v>280</v>
      </c>
      <c r="E7" s="35">
        <v>620</v>
      </c>
      <c r="F7" s="33">
        <v>620</v>
      </c>
      <c r="G7" s="36">
        <v>340</v>
      </c>
      <c r="H7" s="31">
        <v>43</v>
      </c>
      <c r="I7" s="398"/>
      <c r="J7" s="400"/>
      <c r="K7" s="417"/>
      <c r="L7" s="418"/>
      <c r="M7" s="419"/>
      <c r="N7" s="398"/>
      <c r="O7" s="399"/>
      <c r="P7" s="400"/>
      <c r="Q7" s="21"/>
      <c r="R7" s="21"/>
      <c r="S7" s="21"/>
      <c r="T7" s="21"/>
      <c r="U7" s="21"/>
      <c r="V7" s="21"/>
      <c r="W7" s="21"/>
      <c r="X7" s="21"/>
    </row>
    <row r="8" spans="1:24" ht="18.75" thickBot="1" x14ac:dyDescent="0.3">
      <c r="A8" s="37" t="s">
        <v>14</v>
      </c>
      <c r="B8" s="38">
        <v>360</v>
      </c>
      <c r="C8" s="39">
        <v>390</v>
      </c>
      <c r="D8" s="40">
        <v>224</v>
      </c>
      <c r="E8" s="41">
        <v>465</v>
      </c>
      <c r="F8" s="39">
        <v>465</v>
      </c>
      <c r="G8" s="42">
        <v>224</v>
      </c>
      <c r="H8" s="37">
        <v>25</v>
      </c>
      <c r="I8" s="401"/>
      <c r="J8" s="403"/>
      <c r="K8" s="420"/>
      <c r="L8" s="421"/>
      <c r="M8" s="422"/>
      <c r="N8" s="401"/>
      <c r="O8" s="402"/>
      <c r="P8" s="403"/>
      <c r="Q8" s="21"/>
      <c r="R8" s="21"/>
      <c r="S8" s="21"/>
      <c r="T8" s="21"/>
      <c r="U8" s="21"/>
      <c r="V8" s="21"/>
      <c r="W8" s="21"/>
      <c r="X8" s="21"/>
    </row>
    <row r="9" spans="1:24" ht="18.75" thickBot="1" x14ac:dyDescent="0.3">
      <c r="A9" s="43"/>
      <c r="B9" s="43"/>
      <c r="C9" s="43"/>
      <c r="D9" s="43"/>
      <c r="E9" s="43"/>
      <c r="F9" s="43"/>
      <c r="G9" s="43"/>
      <c r="H9" s="43"/>
      <c r="I9" s="4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8" customHeight="1" x14ac:dyDescent="0.25">
      <c r="A10" s="362" t="s">
        <v>30</v>
      </c>
      <c r="B10" s="363"/>
      <c r="C10" s="363"/>
      <c r="D10" s="363"/>
      <c r="E10" s="363"/>
      <c r="F10" s="363"/>
      <c r="G10" s="363"/>
      <c r="H10" s="363"/>
      <c r="I10" s="364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8.75" customHeight="1" thickBot="1" x14ac:dyDescent="0.3">
      <c r="A11" s="365"/>
      <c r="B11" s="366"/>
      <c r="C11" s="366"/>
      <c r="D11" s="366"/>
      <c r="E11" s="366"/>
      <c r="F11" s="366"/>
      <c r="G11" s="366"/>
      <c r="H11" s="366"/>
      <c r="I11" s="367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40.5" customHeight="1" thickBot="1" x14ac:dyDescent="0.3">
      <c r="A12" s="372" t="s">
        <v>28</v>
      </c>
      <c r="B12" s="373"/>
      <c r="C12" s="373"/>
      <c r="D12" s="374"/>
      <c r="E12" s="375" t="s">
        <v>29</v>
      </c>
      <c r="F12" s="376"/>
      <c r="G12" s="376"/>
      <c r="H12" s="377"/>
      <c r="I12" s="45" t="s">
        <v>31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7.25" customHeight="1" x14ac:dyDescent="0.25">
      <c r="A13" s="368" t="s">
        <v>15</v>
      </c>
      <c r="B13" s="369"/>
      <c r="C13" s="369"/>
      <c r="D13" s="371"/>
      <c r="E13" s="368" t="s">
        <v>20</v>
      </c>
      <c r="F13" s="369"/>
      <c r="G13" s="369"/>
      <c r="H13" s="370"/>
      <c r="I13" s="353">
        <v>1</v>
      </c>
      <c r="J13" s="344" t="str">
        <f>IF(I13=1,E13,IF(I13=2,E14,IF(I13=3,E15,IF(I13=4,E16,IF(I13=5,E17,)))))</f>
        <v>350х350х102</v>
      </c>
      <c r="K13" s="345"/>
      <c r="L13" s="346"/>
      <c r="M13" s="21"/>
      <c r="N13" s="21"/>
      <c r="O13" s="21"/>
      <c r="P13" s="46"/>
      <c r="Q13" s="21"/>
      <c r="R13" s="21"/>
      <c r="S13" s="21"/>
      <c r="T13" s="21"/>
      <c r="U13" s="21"/>
      <c r="V13" s="21"/>
      <c r="W13" s="21"/>
      <c r="X13" s="21"/>
    </row>
    <row r="14" spans="1:24" ht="17.25" customHeight="1" x14ac:dyDescent="0.25">
      <c r="A14" s="356" t="s">
        <v>16</v>
      </c>
      <c r="B14" s="357"/>
      <c r="C14" s="357"/>
      <c r="D14" s="378"/>
      <c r="E14" s="356" t="s">
        <v>21</v>
      </c>
      <c r="F14" s="357"/>
      <c r="G14" s="357"/>
      <c r="H14" s="358"/>
      <c r="I14" s="354">
        <v>4</v>
      </c>
      <c r="J14" s="347"/>
      <c r="K14" s="348"/>
      <c r="L14" s="34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7.25" customHeight="1" x14ac:dyDescent="0.25">
      <c r="A15" s="356" t="s">
        <v>17</v>
      </c>
      <c r="B15" s="357"/>
      <c r="C15" s="357"/>
      <c r="D15" s="378"/>
      <c r="E15" s="356" t="s">
        <v>22</v>
      </c>
      <c r="F15" s="357"/>
      <c r="G15" s="357"/>
      <c r="H15" s="358"/>
      <c r="I15" s="354"/>
      <c r="J15" s="347"/>
      <c r="K15" s="348"/>
      <c r="L15" s="34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7.25" customHeight="1" x14ac:dyDescent="0.25">
      <c r="A16" s="356" t="s">
        <v>18</v>
      </c>
      <c r="B16" s="357"/>
      <c r="C16" s="357"/>
      <c r="D16" s="378"/>
      <c r="E16" s="356" t="s">
        <v>23</v>
      </c>
      <c r="F16" s="357"/>
      <c r="G16" s="357"/>
      <c r="H16" s="358"/>
      <c r="I16" s="354"/>
      <c r="J16" s="347"/>
      <c r="K16" s="348"/>
      <c r="L16" s="34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7.25" customHeight="1" thickBot="1" x14ac:dyDescent="0.3">
      <c r="A17" s="359" t="s">
        <v>19</v>
      </c>
      <c r="B17" s="360"/>
      <c r="C17" s="360"/>
      <c r="D17" s="379"/>
      <c r="E17" s="359" t="s">
        <v>24</v>
      </c>
      <c r="F17" s="360"/>
      <c r="G17" s="360"/>
      <c r="H17" s="361"/>
      <c r="I17" s="355"/>
      <c r="J17" s="350"/>
      <c r="K17" s="351"/>
      <c r="L17" s="35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8.75" thickBot="1" x14ac:dyDescent="0.3">
      <c r="A18" s="21"/>
      <c r="B18" s="21"/>
      <c r="C18" s="21"/>
      <c r="D18" s="21"/>
      <c r="E18" s="43"/>
      <c r="F18" s="43"/>
      <c r="G18" s="43"/>
      <c r="H18" s="43"/>
      <c r="I18" s="44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8.75" customHeight="1" x14ac:dyDescent="0.25">
      <c r="A19" s="404" t="s">
        <v>109</v>
      </c>
      <c r="B19" s="405"/>
      <c r="C19" s="406"/>
      <c r="D19" s="404" t="s">
        <v>110</v>
      </c>
      <c r="E19" s="405"/>
      <c r="F19" s="406"/>
      <c r="G19" s="404" t="s">
        <v>111</v>
      </c>
      <c r="H19" s="405"/>
      <c r="I19" s="406"/>
      <c r="J19" s="404" t="s">
        <v>112</v>
      </c>
      <c r="K19" s="405"/>
      <c r="L19" s="406"/>
      <c r="M19" s="413"/>
      <c r="N19" s="413"/>
      <c r="O19" s="413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30" customHeight="1" x14ac:dyDescent="0.25">
      <c r="A20" s="407"/>
      <c r="B20" s="408"/>
      <c r="C20" s="409"/>
      <c r="D20" s="407"/>
      <c r="E20" s="408"/>
      <c r="F20" s="409"/>
      <c r="G20" s="407"/>
      <c r="H20" s="408"/>
      <c r="I20" s="409"/>
      <c r="J20" s="407"/>
      <c r="K20" s="408"/>
      <c r="L20" s="409"/>
      <c r="M20" s="413"/>
      <c r="N20" s="413"/>
      <c r="O20" s="413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5" customHeight="1" thickBot="1" x14ac:dyDescent="0.3">
      <c r="A21" s="410"/>
      <c r="B21" s="411"/>
      <c r="C21" s="412"/>
      <c r="D21" s="407"/>
      <c r="E21" s="408"/>
      <c r="F21" s="409"/>
      <c r="G21" s="407"/>
      <c r="H21" s="408"/>
      <c r="I21" s="409"/>
      <c r="J21" s="407"/>
      <c r="K21" s="408"/>
      <c r="L21" s="409"/>
      <c r="M21" s="413"/>
      <c r="N21" s="413"/>
      <c r="O21" s="413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" customHeight="1" x14ac:dyDescent="0.25">
      <c r="A22" s="389" t="s">
        <v>95</v>
      </c>
      <c r="B22" s="390"/>
      <c r="C22" s="391"/>
      <c r="D22" s="386" t="s">
        <v>96</v>
      </c>
      <c r="E22" s="387"/>
      <c r="F22" s="388"/>
      <c r="G22" s="440" t="s">
        <v>113</v>
      </c>
      <c r="H22" s="441"/>
      <c r="I22" s="442"/>
      <c r="J22" s="386" t="s">
        <v>97</v>
      </c>
      <c r="K22" s="387"/>
      <c r="L22" s="43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" customHeight="1" x14ac:dyDescent="0.25">
      <c r="A23" s="392" t="s">
        <v>98</v>
      </c>
      <c r="B23" s="393"/>
      <c r="C23" s="394"/>
      <c r="D23" s="431" t="s">
        <v>99</v>
      </c>
      <c r="E23" s="432"/>
      <c r="F23" s="436"/>
      <c r="G23" s="443" t="s">
        <v>114</v>
      </c>
      <c r="H23" s="444"/>
      <c r="I23" s="445"/>
      <c r="J23" s="431" t="s">
        <v>97</v>
      </c>
      <c r="K23" s="432"/>
      <c r="L23" s="433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5" customHeight="1" x14ac:dyDescent="0.25">
      <c r="A24" s="392" t="s">
        <v>100</v>
      </c>
      <c r="B24" s="393"/>
      <c r="C24" s="394"/>
      <c r="D24" s="431" t="s">
        <v>101</v>
      </c>
      <c r="E24" s="432"/>
      <c r="F24" s="436"/>
      <c r="G24" s="446" t="s">
        <v>115</v>
      </c>
      <c r="H24" s="447"/>
      <c r="I24" s="448"/>
      <c r="J24" s="392" t="s">
        <v>97</v>
      </c>
      <c r="K24" s="393"/>
      <c r="L24" s="434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5" customHeight="1" x14ac:dyDescent="0.25">
      <c r="A25" s="392" t="s">
        <v>102</v>
      </c>
      <c r="B25" s="393"/>
      <c r="C25" s="394"/>
      <c r="D25" s="431" t="s">
        <v>103</v>
      </c>
      <c r="E25" s="432"/>
      <c r="F25" s="436"/>
      <c r="G25" s="446" t="s">
        <v>116</v>
      </c>
      <c r="H25" s="447"/>
      <c r="I25" s="448"/>
      <c r="J25" s="392" t="s">
        <v>104</v>
      </c>
      <c r="K25" s="393"/>
      <c r="L25" s="434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30.75" customHeight="1" thickBot="1" x14ac:dyDescent="0.3">
      <c r="A26" s="383" t="s">
        <v>105</v>
      </c>
      <c r="B26" s="384"/>
      <c r="C26" s="385"/>
      <c r="D26" s="437" t="s">
        <v>106</v>
      </c>
      <c r="E26" s="438"/>
      <c r="F26" s="439"/>
      <c r="G26" s="380" t="s">
        <v>117</v>
      </c>
      <c r="H26" s="381"/>
      <c r="I26" s="382"/>
      <c r="J26" s="383" t="s">
        <v>118</v>
      </c>
      <c r="K26" s="384"/>
      <c r="L26" s="43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5.75" thickBot="1" x14ac:dyDescent="0.3">
      <c r="A27" s="21"/>
      <c r="B27" s="21"/>
      <c r="C27" s="21"/>
      <c r="D27" s="427" t="str">
        <f>IF(I13=1,D22,IF(I13=2,D23,IF(I13=3,D24,IF(I13=4,D25,IF(I13=5,D26)))))</f>
        <v>КВУ-05</v>
      </c>
      <c r="E27" s="428"/>
      <c r="F27" s="429"/>
      <c r="G27" s="427" t="str">
        <f>IF(I13=1,G22,IF(I13=2,G23,IF(I13=3,G24,IF(I13=4,G25,IF(I13=5,G26)))))</f>
        <v>4/3/4/3</v>
      </c>
      <c r="H27" s="428"/>
      <c r="I27" s="429"/>
      <c r="J27" s="427" t="str">
        <f>IF(I13=1,J22,IF(I13=2,J23,IF(I13=3,J24,IF(I13=4,J25,IF(I13=5,J26)))))</f>
        <v>DIN-рейка типа NS-35/7,5</v>
      </c>
      <c r="K27" s="428"/>
      <c r="L27" s="429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</sheetData>
  <mergeCells count="53">
    <mergeCell ref="D27:F27"/>
    <mergeCell ref="G27:I27"/>
    <mergeCell ref="J27:L27"/>
    <mergeCell ref="J22:L22"/>
    <mergeCell ref="J23:L23"/>
    <mergeCell ref="J24:L24"/>
    <mergeCell ref="J25:L25"/>
    <mergeCell ref="J26:L26"/>
    <mergeCell ref="D23:F23"/>
    <mergeCell ref="D24:F24"/>
    <mergeCell ref="D25:F25"/>
    <mergeCell ref="D26:F26"/>
    <mergeCell ref="G22:I22"/>
    <mergeCell ref="G23:I23"/>
    <mergeCell ref="G24:I24"/>
    <mergeCell ref="G25:I25"/>
    <mergeCell ref="N2:P3"/>
    <mergeCell ref="N4:P8"/>
    <mergeCell ref="D19:F21"/>
    <mergeCell ref="A19:C21"/>
    <mergeCell ref="G19:I21"/>
    <mergeCell ref="J19:L21"/>
    <mergeCell ref="M19:O21"/>
    <mergeCell ref="K4:M8"/>
    <mergeCell ref="K2:M3"/>
    <mergeCell ref="E15:H15"/>
    <mergeCell ref="I2:J3"/>
    <mergeCell ref="I4:J8"/>
    <mergeCell ref="B2:D2"/>
    <mergeCell ref="A2:A3"/>
    <mergeCell ref="E2:G2"/>
    <mergeCell ref="H2:H3"/>
    <mergeCell ref="G26:I26"/>
    <mergeCell ref="A26:C26"/>
    <mergeCell ref="D22:F22"/>
    <mergeCell ref="A22:C22"/>
    <mergeCell ref="A23:C23"/>
    <mergeCell ref="A24:C24"/>
    <mergeCell ref="A25:C25"/>
    <mergeCell ref="J13:L17"/>
    <mergeCell ref="I13:I17"/>
    <mergeCell ref="E16:H16"/>
    <mergeCell ref="E17:H17"/>
    <mergeCell ref="A10:I11"/>
    <mergeCell ref="E13:H13"/>
    <mergeCell ref="A13:D13"/>
    <mergeCell ref="A12:D12"/>
    <mergeCell ref="E12:H12"/>
    <mergeCell ref="A14:D14"/>
    <mergeCell ref="A15:D15"/>
    <mergeCell ref="A16:D16"/>
    <mergeCell ref="A17:D17"/>
    <mergeCell ref="E14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105"/>
  <sheetViews>
    <sheetView topLeftCell="A7" zoomScale="80" zoomScaleNormal="80" workbookViewId="0">
      <selection activeCell="L50" sqref="L50"/>
    </sheetView>
  </sheetViews>
  <sheetFormatPr defaultRowHeight="15" x14ac:dyDescent="0.25"/>
  <cols>
    <col min="1" max="1" width="32" customWidth="1"/>
    <col min="2" max="2" width="13.5703125" customWidth="1"/>
    <col min="3" max="3" width="19.85546875" customWidth="1"/>
    <col min="4" max="4" width="18" customWidth="1"/>
    <col min="5" max="7" width="18.28515625" customWidth="1"/>
    <col min="8" max="8" width="19.5703125" customWidth="1"/>
    <col min="9" max="9" width="18.28515625" customWidth="1"/>
    <col min="10" max="10" width="22.28515625" customWidth="1"/>
    <col min="11" max="11" width="16" customWidth="1"/>
    <col min="12" max="12" width="21.7109375" customWidth="1"/>
    <col min="13" max="13" width="16.7109375" customWidth="1"/>
    <col min="14" max="14" width="15.85546875" customWidth="1"/>
  </cols>
  <sheetData>
    <row r="1" spans="1:21" ht="15.75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7.25" customHeight="1" x14ac:dyDescent="0.25">
      <c r="A2" s="485" t="s">
        <v>59</v>
      </c>
      <c r="B2" s="485" t="s">
        <v>58</v>
      </c>
      <c r="C2" s="485" t="s">
        <v>57</v>
      </c>
      <c r="D2" s="485" t="s">
        <v>36</v>
      </c>
      <c r="E2" s="485" t="s">
        <v>60</v>
      </c>
      <c r="F2" s="404" t="s">
        <v>38</v>
      </c>
      <c r="G2" s="405"/>
      <c r="H2" s="405"/>
      <c r="I2" s="405"/>
      <c r="J2" s="406"/>
      <c r="K2" s="404" t="s">
        <v>39</v>
      </c>
      <c r="L2" s="551" t="s">
        <v>77</v>
      </c>
      <c r="M2" s="558"/>
      <c r="N2" s="552"/>
      <c r="O2" s="551" t="s">
        <v>83</v>
      </c>
      <c r="P2" s="552"/>
      <c r="Q2" s="67"/>
      <c r="R2" s="68"/>
      <c r="S2" s="21"/>
      <c r="T2" s="21"/>
      <c r="U2" s="21"/>
    </row>
    <row r="3" spans="1:21" ht="17.25" customHeight="1" x14ac:dyDescent="0.25">
      <c r="A3" s="486"/>
      <c r="B3" s="486"/>
      <c r="C3" s="486"/>
      <c r="D3" s="486"/>
      <c r="E3" s="486"/>
      <c r="F3" s="407"/>
      <c r="G3" s="408"/>
      <c r="H3" s="408"/>
      <c r="I3" s="408"/>
      <c r="J3" s="409"/>
      <c r="K3" s="407"/>
      <c r="L3" s="392"/>
      <c r="M3" s="393"/>
      <c r="N3" s="434"/>
      <c r="O3" s="392"/>
      <c r="P3" s="434"/>
      <c r="Q3" s="67"/>
      <c r="R3" s="68"/>
      <c r="S3" s="21"/>
      <c r="T3" s="21"/>
      <c r="U3" s="21"/>
    </row>
    <row r="4" spans="1:21" ht="17.25" customHeight="1" x14ac:dyDescent="0.25">
      <c r="A4" s="486"/>
      <c r="B4" s="486"/>
      <c r="C4" s="486"/>
      <c r="D4" s="486"/>
      <c r="E4" s="486"/>
      <c r="F4" s="407"/>
      <c r="G4" s="408"/>
      <c r="H4" s="408"/>
      <c r="I4" s="408"/>
      <c r="J4" s="409"/>
      <c r="K4" s="407"/>
      <c r="L4" s="392"/>
      <c r="M4" s="393"/>
      <c r="N4" s="434"/>
      <c r="O4" s="392"/>
      <c r="P4" s="434"/>
      <c r="Q4" s="67"/>
      <c r="R4" s="68"/>
      <c r="S4" s="21"/>
      <c r="T4" s="21"/>
      <c r="U4" s="21"/>
    </row>
    <row r="5" spans="1:21" ht="18" customHeight="1" thickBot="1" x14ac:dyDescent="0.3">
      <c r="A5" s="486"/>
      <c r="B5" s="486"/>
      <c r="C5" s="486"/>
      <c r="D5" s="486"/>
      <c r="E5" s="486"/>
      <c r="F5" s="410"/>
      <c r="G5" s="411"/>
      <c r="H5" s="411"/>
      <c r="I5" s="411"/>
      <c r="J5" s="412"/>
      <c r="K5" s="407"/>
      <c r="L5" s="392"/>
      <c r="M5" s="393"/>
      <c r="N5" s="434"/>
      <c r="O5" s="392"/>
      <c r="P5" s="434"/>
      <c r="Q5" s="67"/>
      <c r="R5" s="68"/>
      <c r="S5" s="21"/>
      <c r="T5" s="21"/>
      <c r="U5" s="21"/>
    </row>
    <row r="6" spans="1:21" ht="17.25" customHeight="1" thickBot="1" x14ac:dyDescent="0.3">
      <c r="A6" s="493"/>
      <c r="B6" s="486"/>
      <c r="C6" s="486"/>
      <c r="D6" s="486"/>
      <c r="E6" s="486"/>
      <c r="F6" s="69" t="s">
        <v>10</v>
      </c>
      <c r="G6" s="69" t="s">
        <v>11</v>
      </c>
      <c r="H6" s="69" t="s">
        <v>12</v>
      </c>
      <c r="I6" s="69" t="s">
        <v>13</v>
      </c>
      <c r="J6" s="70" t="s">
        <v>14</v>
      </c>
      <c r="K6" s="410"/>
      <c r="L6" s="383"/>
      <c r="M6" s="384"/>
      <c r="N6" s="435"/>
      <c r="O6" s="553"/>
      <c r="P6" s="554"/>
      <c r="Q6" s="67"/>
      <c r="R6" s="68"/>
      <c r="S6" s="21"/>
      <c r="T6" s="21"/>
      <c r="U6" s="21"/>
    </row>
    <row r="7" spans="1:21" ht="15" customHeight="1" thickBot="1" x14ac:dyDescent="0.3">
      <c r="A7" s="71">
        <v>1</v>
      </c>
      <c r="B7" s="72" t="s">
        <v>40</v>
      </c>
      <c r="C7" s="72" t="s">
        <v>41</v>
      </c>
      <c r="D7" s="73">
        <v>550</v>
      </c>
      <c r="E7" s="74">
        <v>22</v>
      </c>
      <c r="F7" s="73">
        <f>ROUND(N26/O7,0)</f>
        <v>23</v>
      </c>
      <c r="G7" s="74">
        <f>ROUND(N27/O7,0)</f>
        <v>41</v>
      </c>
      <c r="H7" s="73">
        <f>ROUND(N28/O7,0)</f>
        <v>15</v>
      </c>
      <c r="I7" s="74">
        <f>ROUND(N29/O7,0)</f>
        <v>184</v>
      </c>
      <c r="J7" s="73">
        <f>ROUND(N30/O7,0)</f>
        <v>82</v>
      </c>
      <c r="K7" s="75" t="s">
        <v>32</v>
      </c>
      <c r="L7" s="494" t="str">
        <f>CONCATENATE(F7,"/",G7,"/",H7,"/",I7,"/",J7)</f>
        <v>23/41/15/184/82</v>
      </c>
      <c r="M7" s="495"/>
      <c r="N7" s="496"/>
      <c r="O7" s="555">
        <v>5.5</v>
      </c>
      <c r="P7" s="556"/>
      <c r="Q7" s="21"/>
      <c r="R7" s="21"/>
      <c r="S7" s="21"/>
      <c r="T7" s="21"/>
      <c r="U7" s="21"/>
    </row>
    <row r="8" spans="1:21" ht="15" customHeight="1" thickBot="1" x14ac:dyDescent="0.3">
      <c r="A8" s="71">
        <v>2</v>
      </c>
      <c r="B8" s="76" t="s">
        <v>42</v>
      </c>
      <c r="C8" s="76" t="s">
        <v>43</v>
      </c>
      <c r="D8" s="77">
        <v>690</v>
      </c>
      <c r="E8" s="78">
        <v>32</v>
      </c>
      <c r="F8" s="73">
        <f>ROUND(N26/O8,0)</f>
        <v>20</v>
      </c>
      <c r="G8" s="74">
        <f>ROUND(N27/O8,0)</f>
        <v>36</v>
      </c>
      <c r="H8" s="73">
        <f>ROUND(N28/O8,0)</f>
        <v>13</v>
      </c>
      <c r="I8" s="74">
        <f>ROUND(N30/O8,0)</f>
        <v>73</v>
      </c>
      <c r="J8" s="73">
        <f>ROUND(N30/O8,0)</f>
        <v>73</v>
      </c>
      <c r="K8" s="75" t="s">
        <v>32</v>
      </c>
      <c r="L8" s="494" t="str">
        <f>CONCATENATE(F8,"/",G8,"/",H8,"/",I8,"/",J8)</f>
        <v>20/36/13/73/73</v>
      </c>
      <c r="M8" s="495"/>
      <c r="N8" s="496"/>
      <c r="O8" s="446">
        <v>6.2</v>
      </c>
      <c r="P8" s="557"/>
      <c r="Q8" s="21"/>
      <c r="R8" s="21"/>
      <c r="S8" s="21"/>
      <c r="T8" s="21"/>
      <c r="U8" s="21"/>
    </row>
    <row r="9" spans="1:21" ht="36" customHeight="1" thickBot="1" x14ac:dyDescent="0.3">
      <c r="A9" s="71">
        <v>3</v>
      </c>
      <c r="B9" s="76" t="s">
        <v>44</v>
      </c>
      <c r="C9" s="76" t="s">
        <v>41</v>
      </c>
      <c r="D9" s="77">
        <v>275</v>
      </c>
      <c r="E9" s="78">
        <v>22</v>
      </c>
      <c r="F9" s="73">
        <f>ROUND(N26/O9,0)</f>
        <v>23</v>
      </c>
      <c r="G9" s="74">
        <f>ROUND(N27/O9,0)</f>
        <v>41</v>
      </c>
      <c r="H9" s="73">
        <f>ROUND(N28/O9,0)</f>
        <v>15</v>
      </c>
      <c r="I9" s="74">
        <f>ROUND(N29/O9,0)</f>
        <v>184</v>
      </c>
      <c r="J9" s="73">
        <f>ROUND(N30/O9,0)</f>
        <v>82</v>
      </c>
      <c r="K9" s="79" t="s">
        <v>45</v>
      </c>
      <c r="L9" s="494" t="str">
        <f t="shared" ref="L9:L16" si="0">CONCATENATE(F9,"/",G9,"/",H9,"/",I9,"/",J9)</f>
        <v>23/41/15/184/82</v>
      </c>
      <c r="M9" s="495"/>
      <c r="N9" s="496"/>
      <c r="O9" s="446">
        <v>5.5</v>
      </c>
      <c r="P9" s="557"/>
      <c r="Q9" s="21"/>
      <c r="R9" s="21"/>
      <c r="S9" s="21"/>
      <c r="T9" s="21"/>
      <c r="U9" s="21"/>
    </row>
    <row r="10" spans="1:21" ht="30.75" customHeight="1" thickBot="1" x14ac:dyDescent="0.3">
      <c r="A10" s="71">
        <v>4</v>
      </c>
      <c r="B10" s="76" t="s">
        <v>46</v>
      </c>
      <c r="C10" s="76" t="s">
        <v>43</v>
      </c>
      <c r="D10" s="77">
        <v>500</v>
      </c>
      <c r="E10" s="78">
        <v>32</v>
      </c>
      <c r="F10" s="77">
        <f>ROUND(N26/O10,0)</f>
        <v>20</v>
      </c>
      <c r="G10" s="78">
        <f>ROUND(N27/O9,0)</f>
        <v>41</v>
      </c>
      <c r="H10" s="77">
        <f>ROUND(N28/O9,0)</f>
        <v>15</v>
      </c>
      <c r="I10" s="78">
        <f>ROUND(N29/O9,0)</f>
        <v>184</v>
      </c>
      <c r="J10" s="77">
        <f>ROUND(N30/O9,0)</f>
        <v>82</v>
      </c>
      <c r="K10" s="79" t="s">
        <v>45</v>
      </c>
      <c r="L10" s="494" t="str">
        <f t="shared" si="0"/>
        <v>20/41/15/184/82</v>
      </c>
      <c r="M10" s="495"/>
      <c r="N10" s="496"/>
      <c r="O10" s="446">
        <v>6.2</v>
      </c>
      <c r="P10" s="557"/>
      <c r="Q10" s="21"/>
      <c r="R10" s="21"/>
      <c r="S10" s="21"/>
      <c r="T10" s="21"/>
      <c r="U10" s="21"/>
    </row>
    <row r="11" spans="1:21" ht="33.75" customHeight="1" thickBot="1" x14ac:dyDescent="0.3">
      <c r="A11" s="71">
        <v>5</v>
      </c>
      <c r="B11" s="76" t="s">
        <v>47</v>
      </c>
      <c r="C11" s="76" t="s">
        <v>41</v>
      </c>
      <c r="D11" s="77" t="s">
        <v>32</v>
      </c>
      <c r="E11" s="78" t="s">
        <v>32</v>
      </c>
      <c r="F11" s="77">
        <f>ROUND(N26/O11,0)</f>
        <v>23</v>
      </c>
      <c r="G11" s="78">
        <f>ROUND(N27/O11,0)</f>
        <v>41</v>
      </c>
      <c r="H11" s="77">
        <f>ROUND(N28/O11,0)</f>
        <v>15</v>
      </c>
      <c r="I11" s="78">
        <f>ROUND(N29/O11,0)</f>
        <v>184</v>
      </c>
      <c r="J11" s="77">
        <f>ROUND(N30/O11,0)</f>
        <v>82</v>
      </c>
      <c r="K11" s="79" t="s">
        <v>48</v>
      </c>
      <c r="L11" s="494" t="str">
        <f t="shared" si="0"/>
        <v>23/41/15/184/82</v>
      </c>
      <c r="M11" s="495"/>
      <c r="N11" s="496"/>
      <c r="O11" s="446">
        <v>5.5</v>
      </c>
      <c r="P11" s="557"/>
      <c r="Q11" s="21"/>
      <c r="R11" s="21"/>
      <c r="S11" s="21"/>
      <c r="T11" s="21"/>
      <c r="U11" s="21"/>
    </row>
    <row r="12" spans="1:21" ht="35.25" customHeight="1" thickBot="1" x14ac:dyDescent="0.3">
      <c r="A12" s="71">
        <v>6</v>
      </c>
      <c r="B12" s="76" t="s">
        <v>49</v>
      </c>
      <c r="C12" s="76" t="s">
        <v>43</v>
      </c>
      <c r="D12" s="77">
        <v>500</v>
      </c>
      <c r="E12" s="78">
        <v>32</v>
      </c>
      <c r="F12" s="77">
        <f>ROUND(N26/O12,0)</f>
        <v>24</v>
      </c>
      <c r="G12" s="78">
        <f>ROUND(N27/O12,0)</f>
        <v>43</v>
      </c>
      <c r="H12" s="77">
        <f>ROUND(N28/O12,0)</f>
        <v>15</v>
      </c>
      <c r="I12" s="78">
        <f>ROUND(N29/O12,0)</f>
        <v>195</v>
      </c>
      <c r="J12" s="77">
        <f>ROUND(N30/O12,0)</f>
        <v>87</v>
      </c>
      <c r="K12" s="79" t="s">
        <v>50</v>
      </c>
      <c r="L12" s="494" t="str">
        <f t="shared" si="0"/>
        <v>24/43/15/195/87</v>
      </c>
      <c r="M12" s="495"/>
      <c r="N12" s="496"/>
      <c r="O12" s="446">
        <v>5.2</v>
      </c>
      <c r="P12" s="557"/>
      <c r="Q12" s="21"/>
      <c r="R12" s="21"/>
      <c r="S12" s="21"/>
      <c r="T12" s="21"/>
      <c r="U12" s="21"/>
    </row>
    <row r="13" spans="1:21" ht="15" customHeight="1" thickBot="1" x14ac:dyDescent="0.3">
      <c r="A13" s="71">
        <v>7</v>
      </c>
      <c r="B13" s="76" t="s">
        <v>51</v>
      </c>
      <c r="C13" s="76" t="s">
        <v>52</v>
      </c>
      <c r="D13" s="77">
        <v>690</v>
      </c>
      <c r="E13" s="78">
        <v>57</v>
      </c>
      <c r="F13" s="77">
        <f>ROUND(N26/O13,0)</f>
        <v>10</v>
      </c>
      <c r="G13" s="78">
        <f>ROUND(N27/O13,0)</f>
        <v>18</v>
      </c>
      <c r="H13" s="77">
        <f>ROUND(N28/O13,0)</f>
        <v>7</v>
      </c>
      <c r="I13" s="78">
        <f>ROUND(N29/O13,0)</f>
        <v>83</v>
      </c>
      <c r="J13" s="77">
        <f>ROUND(N30/O13,0)</f>
        <v>37</v>
      </c>
      <c r="K13" s="75" t="s">
        <v>32</v>
      </c>
      <c r="L13" s="494" t="str">
        <f t="shared" si="0"/>
        <v>10/18/7/83/37</v>
      </c>
      <c r="M13" s="495"/>
      <c r="N13" s="496"/>
      <c r="O13" s="446">
        <v>12.2</v>
      </c>
      <c r="P13" s="557"/>
      <c r="Q13" s="21"/>
      <c r="R13" s="21"/>
      <c r="S13" s="21"/>
      <c r="T13" s="21"/>
      <c r="U13" s="21"/>
    </row>
    <row r="14" spans="1:21" ht="15" customHeight="1" thickBot="1" x14ac:dyDescent="0.3">
      <c r="A14" s="71">
        <v>8</v>
      </c>
      <c r="B14" s="76" t="s">
        <v>53</v>
      </c>
      <c r="C14" s="76" t="s">
        <v>54</v>
      </c>
      <c r="D14" s="77">
        <v>690</v>
      </c>
      <c r="E14" s="78">
        <v>43</v>
      </c>
      <c r="F14" s="77">
        <f>ROUND(N26/O14,0)</f>
        <v>15</v>
      </c>
      <c r="G14" s="78">
        <f>ROUND(N27/O14,0)</f>
        <v>27</v>
      </c>
      <c r="H14" s="77">
        <f>ROUND(N28/O14,0)</f>
        <v>10</v>
      </c>
      <c r="I14" s="78">
        <f>ROUND(N29/O14,0)</f>
        <v>124</v>
      </c>
      <c r="J14" s="77">
        <f>ROUND(N30/O14,0)</f>
        <v>55</v>
      </c>
      <c r="K14" s="75" t="s">
        <v>32</v>
      </c>
      <c r="L14" s="494" t="str">
        <f t="shared" si="0"/>
        <v>15/27/10/124/55</v>
      </c>
      <c r="M14" s="495"/>
      <c r="N14" s="496"/>
      <c r="O14" s="446">
        <v>8.1999999999999993</v>
      </c>
      <c r="P14" s="557"/>
      <c r="Q14" s="21"/>
      <c r="R14" s="21"/>
      <c r="S14" s="21"/>
      <c r="T14" s="21"/>
      <c r="U14" s="21"/>
    </row>
    <row r="15" spans="1:21" ht="32.25" customHeight="1" thickBot="1" x14ac:dyDescent="0.3">
      <c r="A15" s="71">
        <v>9</v>
      </c>
      <c r="B15" s="76" t="s">
        <v>55</v>
      </c>
      <c r="C15" s="76" t="s">
        <v>43</v>
      </c>
      <c r="D15" s="77">
        <v>500</v>
      </c>
      <c r="E15" s="78">
        <v>32</v>
      </c>
      <c r="F15" s="77">
        <f>ROUND(N26/O15,0)</f>
        <v>24</v>
      </c>
      <c r="G15" s="78">
        <f>ROUND(N27/O15,0)</f>
        <v>43</v>
      </c>
      <c r="H15" s="77">
        <f>ROUND(N28/O15,0)</f>
        <v>15</v>
      </c>
      <c r="I15" s="78">
        <f>ROUND(N29/O15,0)</f>
        <v>195</v>
      </c>
      <c r="J15" s="77">
        <f>ROUND(N30/O15,0)</f>
        <v>87</v>
      </c>
      <c r="K15" s="79" t="s">
        <v>45</v>
      </c>
      <c r="L15" s="494" t="str">
        <f t="shared" si="0"/>
        <v>24/43/15/195/87</v>
      </c>
      <c r="M15" s="495"/>
      <c r="N15" s="496"/>
      <c r="O15" s="446">
        <v>5.2</v>
      </c>
      <c r="P15" s="557"/>
      <c r="Q15" s="21"/>
      <c r="R15" s="21"/>
      <c r="S15" s="21"/>
      <c r="T15" s="21"/>
      <c r="U15" s="21"/>
    </row>
    <row r="16" spans="1:21" ht="35.25" customHeight="1" thickBot="1" x14ac:dyDescent="0.3">
      <c r="A16" s="71" t="s">
        <v>37</v>
      </c>
      <c r="B16" s="80" t="s">
        <v>56</v>
      </c>
      <c r="C16" s="81" t="s">
        <v>43</v>
      </c>
      <c r="D16" s="82">
        <v>630</v>
      </c>
      <c r="E16" s="83">
        <v>32</v>
      </c>
      <c r="F16" s="82">
        <f>ROUND(N26/O16,0)</f>
        <v>20</v>
      </c>
      <c r="G16" s="83">
        <f>ROUND(N27/O16,0)</f>
        <v>36</v>
      </c>
      <c r="H16" s="82">
        <f>ROUND(N28/O16,0)</f>
        <v>13</v>
      </c>
      <c r="I16" s="83">
        <f>ROUND(N29/O16,0)</f>
        <v>163</v>
      </c>
      <c r="J16" s="82">
        <f>ROUND(N30/O16,0)</f>
        <v>73</v>
      </c>
      <c r="K16" s="79" t="s">
        <v>50</v>
      </c>
      <c r="L16" s="494" t="str">
        <f t="shared" si="0"/>
        <v>20/36/13/163/73</v>
      </c>
      <c r="M16" s="495"/>
      <c r="N16" s="496"/>
      <c r="O16" s="446">
        <v>6.2</v>
      </c>
      <c r="P16" s="557"/>
      <c r="Q16" s="21"/>
      <c r="R16" s="21"/>
      <c r="S16" s="21"/>
      <c r="T16" s="21"/>
      <c r="U16" s="21"/>
    </row>
    <row r="17" spans="1:21" ht="16.5" thickBot="1" x14ac:dyDescent="0.3">
      <c r="A17" s="84"/>
      <c r="B17" s="80" t="s">
        <v>166</v>
      </c>
      <c r="C17" s="85" t="s">
        <v>32</v>
      </c>
      <c r="D17" s="86" t="s">
        <v>32</v>
      </c>
      <c r="E17" s="87" t="s">
        <v>32</v>
      </c>
      <c r="F17" s="86" t="s">
        <v>32</v>
      </c>
      <c r="G17" s="87" t="s">
        <v>32</v>
      </c>
      <c r="H17" s="86" t="s">
        <v>32</v>
      </c>
      <c r="I17" s="87" t="s">
        <v>32</v>
      </c>
      <c r="J17" s="86" t="s">
        <v>32</v>
      </c>
      <c r="K17" s="88"/>
      <c r="L17" s="497" t="s">
        <v>32</v>
      </c>
      <c r="M17" s="498"/>
      <c r="N17" s="498"/>
      <c r="O17" s="380"/>
      <c r="P17" s="559"/>
      <c r="Q17" s="21"/>
      <c r="R17" s="21"/>
      <c r="S17" s="21"/>
      <c r="T17" s="21"/>
      <c r="U17" s="21"/>
    </row>
    <row r="18" spans="1:21" ht="15.75" thickBo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485" t="s">
        <v>61</v>
      </c>
      <c r="B19" s="485" t="s">
        <v>63</v>
      </c>
      <c r="C19" s="485" t="s">
        <v>64</v>
      </c>
      <c r="D19" s="485" t="s">
        <v>65</v>
      </c>
      <c r="E19" s="485" t="s">
        <v>66</v>
      </c>
      <c r="F19" s="485" t="s">
        <v>67</v>
      </c>
      <c r="G19" s="485" t="s">
        <v>68</v>
      </c>
      <c r="H19" s="485" t="s">
        <v>69</v>
      </c>
      <c r="I19" s="485" t="s">
        <v>70</v>
      </c>
      <c r="J19" s="485" t="s">
        <v>71</v>
      </c>
      <c r="K19" s="485" t="s">
        <v>76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7.25" customHeight="1" thickBot="1" x14ac:dyDescent="0.3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5.75" thickBot="1" x14ac:dyDescent="0.3">
      <c r="A21" s="73" t="s">
        <v>40</v>
      </c>
      <c r="B21" s="487">
        <v>11</v>
      </c>
      <c r="C21" s="490">
        <v>11</v>
      </c>
      <c r="D21" s="490">
        <v>11</v>
      </c>
      <c r="E21" s="490">
        <v>11</v>
      </c>
      <c r="F21" s="490">
        <v>11</v>
      </c>
      <c r="G21" s="490">
        <v>11</v>
      </c>
      <c r="H21" s="490">
        <v>11</v>
      </c>
      <c r="I21" s="490">
        <v>11</v>
      </c>
      <c r="J21" s="490">
        <v>11</v>
      </c>
      <c r="K21" s="519">
        <v>11</v>
      </c>
      <c r="L21" s="21"/>
      <c r="M21" s="528" t="s">
        <v>80</v>
      </c>
      <c r="N21" s="529"/>
      <c r="O21" s="21"/>
      <c r="P21" s="21"/>
      <c r="Q21" s="21"/>
      <c r="R21" s="21"/>
      <c r="S21" s="21"/>
      <c r="T21" s="21"/>
      <c r="U21" s="21"/>
    </row>
    <row r="22" spans="1:21" ht="15.75" thickBot="1" x14ac:dyDescent="0.3">
      <c r="A22" s="77" t="s">
        <v>42</v>
      </c>
      <c r="B22" s="488"/>
      <c r="C22" s="491"/>
      <c r="D22" s="491"/>
      <c r="E22" s="491"/>
      <c r="F22" s="491"/>
      <c r="G22" s="491"/>
      <c r="H22" s="491"/>
      <c r="I22" s="491"/>
      <c r="J22" s="491"/>
      <c r="K22" s="520"/>
      <c r="L22" s="21"/>
      <c r="M22" s="481" t="s">
        <v>81</v>
      </c>
      <c r="N22" s="483"/>
      <c r="O22" s="21"/>
      <c r="P22" s="21"/>
      <c r="Q22" s="21"/>
      <c r="R22" s="21"/>
      <c r="S22" s="21"/>
      <c r="T22" s="21"/>
      <c r="U22" s="21"/>
    </row>
    <row r="23" spans="1:21" ht="30" x14ac:dyDescent="0.25">
      <c r="A23" s="77" t="s">
        <v>177</v>
      </c>
      <c r="B23" s="488"/>
      <c r="C23" s="491"/>
      <c r="D23" s="491"/>
      <c r="E23" s="491"/>
      <c r="F23" s="491"/>
      <c r="G23" s="491"/>
      <c r="H23" s="491"/>
      <c r="I23" s="491"/>
      <c r="J23" s="491"/>
      <c r="K23" s="520"/>
      <c r="L23" s="21"/>
      <c r="M23" s="89"/>
      <c r="N23" s="89"/>
      <c r="O23" s="21"/>
      <c r="P23" s="21"/>
      <c r="Q23" s="21"/>
      <c r="R23" s="21"/>
      <c r="S23" s="21"/>
      <c r="T23" s="21"/>
      <c r="U23" s="21"/>
    </row>
    <row r="24" spans="1:21" ht="30.75" thickBot="1" x14ac:dyDescent="0.3">
      <c r="A24" s="77" t="s">
        <v>178</v>
      </c>
      <c r="B24" s="488"/>
      <c r="C24" s="491"/>
      <c r="D24" s="491"/>
      <c r="E24" s="491"/>
      <c r="F24" s="491"/>
      <c r="G24" s="491"/>
      <c r="H24" s="491"/>
      <c r="I24" s="491"/>
      <c r="J24" s="491"/>
      <c r="K24" s="520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30.75" thickBot="1" x14ac:dyDescent="0.3">
      <c r="A25" s="77" t="s">
        <v>179</v>
      </c>
      <c r="B25" s="488"/>
      <c r="C25" s="491"/>
      <c r="D25" s="491"/>
      <c r="E25" s="491"/>
      <c r="F25" s="491"/>
      <c r="G25" s="491"/>
      <c r="H25" s="491"/>
      <c r="I25" s="491"/>
      <c r="J25" s="491"/>
      <c r="K25" s="520"/>
      <c r="L25" s="21"/>
      <c r="M25" s="536" t="s">
        <v>84</v>
      </c>
      <c r="N25" s="537"/>
      <c r="O25" s="537"/>
      <c r="P25" s="537"/>
      <c r="Q25" s="538"/>
      <c r="R25" s="21"/>
      <c r="S25" s="21"/>
      <c r="T25" s="21"/>
      <c r="U25" s="21"/>
    </row>
    <row r="26" spans="1:21" ht="30" x14ac:dyDescent="0.25">
      <c r="A26" s="77" t="s">
        <v>180</v>
      </c>
      <c r="B26" s="488"/>
      <c r="C26" s="491"/>
      <c r="D26" s="491"/>
      <c r="E26" s="491"/>
      <c r="F26" s="491"/>
      <c r="G26" s="491"/>
      <c r="H26" s="491"/>
      <c r="I26" s="491"/>
      <c r="J26" s="491"/>
      <c r="K26" s="520"/>
      <c r="L26" s="21"/>
      <c r="M26" s="90" t="s">
        <v>10</v>
      </c>
      <c r="N26" s="522">
        <v>125</v>
      </c>
      <c r="O26" s="523"/>
      <c r="P26" s="523"/>
      <c r="Q26" s="524"/>
      <c r="R26" s="21"/>
      <c r="S26" s="21"/>
      <c r="T26" s="21"/>
      <c r="U26" s="21"/>
    </row>
    <row r="27" spans="1:21" x14ac:dyDescent="0.25">
      <c r="A27" s="77" t="s">
        <v>51</v>
      </c>
      <c r="B27" s="488"/>
      <c r="C27" s="491"/>
      <c r="D27" s="491"/>
      <c r="E27" s="491"/>
      <c r="F27" s="491"/>
      <c r="G27" s="491"/>
      <c r="H27" s="491"/>
      <c r="I27" s="491"/>
      <c r="J27" s="491"/>
      <c r="K27" s="520"/>
      <c r="L27" s="21"/>
      <c r="M27" s="91" t="s">
        <v>11</v>
      </c>
      <c r="N27" s="499">
        <v>225</v>
      </c>
      <c r="O27" s="500"/>
      <c r="P27" s="500"/>
      <c r="Q27" s="501"/>
      <c r="R27" s="21"/>
      <c r="S27" s="21"/>
      <c r="T27" s="21"/>
      <c r="U27" s="21"/>
    </row>
    <row r="28" spans="1:21" x14ac:dyDescent="0.25">
      <c r="A28" s="77" t="s">
        <v>53</v>
      </c>
      <c r="B28" s="488"/>
      <c r="C28" s="491"/>
      <c r="D28" s="491"/>
      <c r="E28" s="491"/>
      <c r="F28" s="491"/>
      <c r="G28" s="491"/>
      <c r="H28" s="491"/>
      <c r="I28" s="491"/>
      <c r="J28" s="491"/>
      <c r="K28" s="520"/>
      <c r="L28" s="21"/>
      <c r="M28" s="91" t="s">
        <v>12</v>
      </c>
      <c r="N28" s="499">
        <v>80</v>
      </c>
      <c r="O28" s="500"/>
      <c r="P28" s="500"/>
      <c r="Q28" s="501"/>
      <c r="R28" s="21"/>
      <c r="S28" s="21"/>
      <c r="T28" s="21"/>
      <c r="U28" s="21"/>
    </row>
    <row r="29" spans="1:21" ht="30" x14ac:dyDescent="0.25">
      <c r="A29" s="77" t="s">
        <v>181</v>
      </c>
      <c r="B29" s="488"/>
      <c r="C29" s="491"/>
      <c r="D29" s="491"/>
      <c r="E29" s="491"/>
      <c r="F29" s="491"/>
      <c r="G29" s="491"/>
      <c r="H29" s="491"/>
      <c r="I29" s="491"/>
      <c r="J29" s="491"/>
      <c r="K29" s="520"/>
      <c r="L29" s="21"/>
      <c r="M29" s="91" t="s">
        <v>13</v>
      </c>
      <c r="N29" s="499">
        <f>ROUND(N27*1.5*3,0)</f>
        <v>1013</v>
      </c>
      <c r="O29" s="500"/>
      <c r="P29" s="500"/>
      <c r="Q29" s="501"/>
      <c r="R29" s="21"/>
      <c r="S29" s="21"/>
      <c r="T29" s="21"/>
      <c r="U29" s="21"/>
    </row>
    <row r="30" spans="1:21" ht="30.75" thickBot="1" x14ac:dyDescent="0.3">
      <c r="A30" s="77" t="s">
        <v>182</v>
      </c>
      <c r="B30" s="488"/>
      <c r="C30" s="491"/>
      <c r="D30" s="491"/>
      <c r="E30" s="491"/>
      <c r="F30" s="491"/>
      <c r="G30" s="491"/>
      <c r="H30" s="491"/>
      <c r="I30" s="491"/>
      <c r="J30" s="491"/>
      <c r="K30" s="520"/>
      <c r="L30" s="21"/>
      <c r="M30" s="92" t="s">
        <v>14</v>
      </c>
      <c r="N30" s="533">
        <f>N27*2</f>
        <v>450</v>
      </c>
      <c r="O30" s="534"/>
      <c r="P30" s="534"/>
      <c r="Q30" s="535"/>
      <c r="R30" s="21"/>
      <c r="S30" s="21"/>
      <c r="T30" s="21"/>
      <c r="U30" s="21"/>
    </row>
    <row r="31" spans="1:21" x14ac:dyDescent="0.25">
      <c r="A31" s="77" t="s">
        <v>32</v>
      </c>
      <c r="B31" s="488"/>
      <c r="C31" s="491"/>
      <c r="D31" s="491"/>
      <c r="E31" s="491"/>
      <c r="F31" s="491"/>
      <c r="G31" s="491"/>
      <c r="H31" s="491"/>
      <c r="I31" s="491"/>
      <c r="J31" s="491"/>
      <c r="K31" s="520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thickBot="1" x14ac:dyDescent="0.3">
      <c r="A32" s="93" t="s">
        <v>166</v>
      </c>
      <c r="B32" s="489"/>
      <c r="C32" s="492"/>
      <c r="D32" s="492"/>
      <c r="E32" s="492"/>
      <c r="F32" s="492"/>
      <c r="G32" s="492"/>
      <c r="H32" s="492"/>
      <c r="I32" s="492"/>
      <c r="J32" s="492"/>
      <c r="K32" s="5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" customHeight="1" x14ac:dyDescent="0.25">
      <c r="A34" s="94"/>
      <c r="B34" s="95"/>
      <c r="C34" s="96"/>
      <c r="D34" s="46"/>
      <c r="E34" s="46"/>
      <c r="F34" s="46"/>
      <c r="G34" s="46"/>
      <c r="H34" s="21"/>
      <c r="I34" s="21"/>
      <c r="J34" s="518" t="str">
        <f>'Опросный лист'!A84</f>
        <v xml:space="preserve">ККВ - 1 -  ЦКЛГ.685631.000 , ЦКЛГ.685631.000 ТУ    </v>
      </c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21"/>
    </row>
    <row r="35" spans="1:21" ht="15.75" thickBo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21"/>
    </row>
    <row r="36" spans="1:21" x14ac:dyDescent="0.25">
      <c r="A36" s="525" t="str">
        <f>IF(AND(G53=1,B21=1,D53&lt;=F7),D53,IF(AND(G53=1,B21=2,D53&lt;=F8),D53,IF(AND(G53=1,B21=3,D53&lt;=F9),D53,IF(AND(G53=1,B21=4,D53&lt;=F10),D53,IF(AND(G53=1,B21=5,D53&lt;=F11),D53,IF(AND(G53=1,B21=6,D53&lt;=F12),D53,IF(AND(G53=1,B21=7,D53&lt;=F13),D53,IF(AND(G53=1,B21=8,D53&lt;=F14),D53,IF(AND(G53=1,B21=9,D53&lt;=F15),D53,IF(AND(G53=1,B21=10,D53&lt;=F16),D53,IF(AND(G53=2,B21=1,D53&lt;=G7),D53,IF(AND(G53=2,B21=2,D53&lt;=G8),D53,IF(AND(G53=2,B21=3,D53&lt;=G9),D53,IF(AND(G53=2,B21=4,D53&lt;=G10),D53,IF(AND(G53=2,B21=5,D53&lt;=G11),D53,IF(AND(G53=2,B21=6,D53&lt;=G12),D53,IF(AND(G53=2,B21=7,D53&lt;=G13),D53,IF(AND(G53=2,B21=8,D53&lt;=G14),D53,IF(AND(G53=2,B21=9,D53&lt;=G15),D53,IF(AND(G53=2,B21=10,D53&lt;=G16),D53,IF(AND(G53=3,B21=1,D53&lt;=H7),D53,IF(AND(G53=3,B21=2,D53&lt;=H8),D53,IF(AND(G53=3,B21=3,D53&lt;=H9),D53,IF(AND(G53=3,B21=4,D53&lt;=H10),D53,IF(AND(G53=3,B21=5,D53&lt;=H11),D53,IF(AND(G53=3,B21=6,D53&lt;=H12),D53,IF(AND(G53=3,B21=7,D53&lt;=H13),D53,IF(AND(G53=3,B21=8,D53&lt;=H14),D53,IF(AND(G53=3,B21=9,D53&lt;=H15),D53,IF(AND(G53=3,B21=10,D53&lt;=H16),D53,IF(AND(G53=4,B21=1,D53&lt;=I7),D53,IF(AND(G53=4,B21=2,D53&lt;=I8),D53,IF(AND(G53=4,B21=3,D53&lt;=I9),D53,IF(AND(G53=4,B21=4,D53&lt;=I10),D53,IF(AND(G53=4,B21=5,D53&lt;=I11),D53,IF(AND(G53=4,B21=6,D53&lt;=I12),D53,IF(AND(G53=4,B21=7,D53&lt;=I13),D53,IF(AND(G53=4,B21=8,D53&lt;=I14),D53,IF(AND(G53=4,B21=9,D53&lt;=I15),D53,IF(AND(G53=4,B21=10,D53&lt;=I16),D53,IF(AND(G53=5,B21=1,D53&lt;=J7),D53,IF(AND(G53=5,B21=2,D53&lt;=J8),D53,IF(AND(G53=5,B21=3,D53&lt;=J9),D53,IF(AND(G53=5,B21=4,D53&lt;=J10),D53,IF(AND(G53=5,B21=5,D53&lt;=J11),D53,IF(AND(G53=5,B21=6,D53&lt;=J12),D53,IF(AND(G53=5,B21=7,D53&lt;=J13),D53,IF(AND(G53=5,B21=8,D53&lt;=J14),D53,IF(AND(G53=5,B21=9,D53&lt;=I15),D53,IF(AND(G53=5,B21=10,D53&lt;=I16),D53,IF(AND(OR(G53=1,G53=2,G53=3,G53=4,G53=5),B21=12,NOT(F53=0)),D53,A76)))))))))))))))))))))))))))))))))))))))))))))))))))</f>
        <v>Норма</v>
      </c>
      <c r="B36" s="526"/>
      <c r="C36" s="526"/>
      <c r="D36" s="526"/>
      <c r="E36" s="526"/>
      <c r="F36" s="526"/>
      <c r="G36" s="527"/>
      <c r="H36" s="97"/>
      <c r="I36" s="9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21"/>
    </row>
    <row r="37" spans="1:21" ht="18" customHeight="1" x14ac:dyDescent="0.25">
      <c r="A37" s="542" t="str">
        <f>IF(AND(G53=1,C21=1,D54&lt;=F7),D54,IF(AND(G53=1,C21=2,D54&lt;=F8),D54,IF(AND(G53=1,C21=3,D54&lt;=F9),D54,IF(AND(G53=1,C21=4,D54&lt;=F10),D54,IF(AND(G53=1,C21=5,D54&lt;=F11),D54,IF(AND(G53=1,C21=6,D54&lt;=F12),D54,IF(AND(G53=1,C21=7,D54&lt;=F13),D54,IF(AND(G53=1,C21=8,D54&lt;=F14),D54,IF(AND(G53=1,C21=9,D54&lt;=F15),D54,IF(AND(G53=1,C21=10,D54&lt;=F16),D54,IF(AND(G53=2,C21=1,D54&lt;=G7),D54,IF(AND(G53=2,C21=2,D54&lt;=G8),D54,IF(AND(G53=2,C21=3,D54&lt;=G9),D54,IF(AND(G53=2,C21=4,D54&lt;=G10),D54,IF(AND(G53=2,C21=5,D54&lt;=G11),D54,IF(AND(G53=2,C21=6,D54&lt;=G12),D54,IF(AND(G53=2,C21=7,D54&lt;=G13),D54,IF(AND(G53=2,C21=8,D54&lt;=G14),D54,IF(AND(G53=2,C21=9,D54&lt;=G15),D54,IF(AND(G53=2,C21=10,D54&lt;=G16),D54,IF(AND(G53=3,C21=1,D54&lt;=H7),D54,IF(AND(G53=3,C21=2,D54&lt;=H8),D54,IF(AND(G53=3,C21=3,D54&lt;=H9),D54,IF(AND(G53=3,C21=4,D54&lt;=H10),D54,IF(AND(G53=3,C21=5,D54&lt;=H11),D54,IF(AND(G53=3,C21=6,D54&lt;=H12),D54,IF(AND(G53=3,C21=7,D54&lt;=H13),D54,IF(AND(G53=3,C21=8,D54&lt;=H14),D54,IF(AND(G53=3,C21=9,D54&lt;=H15),D54,IF(AND(G53=3,C21=10,D54&lt;=H16),D54,IF(AND(G53=4,C21=1,D54&lt;=I7),D54,IF(AND(G53=4,C21=2,D54&lt;=I8),D54,IF(AND(G53=4,C21=3,D54&lt;=I9),D54,IF(AND(G53=4,C21=4,D54&lt;=I10),D54,IF(AND(G53=4,C21=5,D54&lt;=I11),D54,IF(AND(G53=4,C21=6,D54&lt;=I12),D54,IF(AND(G53=4,C21=7,D54&lt;=I13),D54,IF(AND(G53=4,C21=8,D54&lt;=I14),D54,IF(AND(G53=4,C21=9,D54&lt;=I15),D54,IF(AND(G53=4,C21=10,D54&lt;=I16),D54,IF(AND(G53=5,C21=1,D54&lt;=J7),D54,IF(AND(G53=5,C21=2,D54&lt;=J8),D54,IF(AND(G53=5,C21=3,D54&lt;=J9),D54,IF(AND(G53=5,C21=4,D54&lt;=J10),D54,IF(AND(G53=5,C21=5,D54&lt;=J11),D54,IF(AND(G53=5,C21=6,D54&lt;=J12),D54,IF(AND(G53=5,C21=7,D54&lt;=J13),D54,IF(AND(G53=5,C21=8,D54&lt;=J14),D54,IF(AND(G53=5,C21=9,D54&lt;=I15),D54,IF(AND(G53=5,C21=10,D54&lt;=I16),D54,IF(AND(OR(G53=1,G53=2,G53=3,G53=4,G53=5),C21=12,NOT(F54=0)),D54,A76)))))))))))))))))))))))))))))))))))))))))))))))))))</f>
        <v>Норма</v>
      </c>
      <c r="B37" s="542"/>
      <c r="C37" s="542"/>
      <c r="D37" s="542"/>
      <c r="E37" s="542"/>
      <c r="F37" s="542"/>
      <c r="G37" s="543"/>
      <c r="H37" s="97"/>
      <c r="I37" s="97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21"/>
    </row>
    <row r="38" spans="1:21" ht="15.75" customHeight="1" x14ac:dyDescent="0.25">
      <c r="A38" s="542" t="str">
        <f>IF(AND(G53=1,D21=1,D55&lt;=F7),D55,IF(AND(G53=1,D21=2,D55&lt;=F8),D55,IF(AND(G53=1,D21=3,D55&lt;=F9),D55,IF(AND(G53=1,D21=4,D55&lt;=F10),D55,IF(AND(G53=1,D21=5,D55&lt;=F11),D55,IF(AND(G53=1,D21=6,D55&lt;=F12),D55,IF(AND(G53=1,D21=7,D55&lt;=F13),D55,IF(AND(G53=1,D21=8,D55&lt;=F14),D55,IF(AND(G53=1,D21=9,D55&lt;=F15),D55,IF(AND(G53=1,D21=10,D55&lt;=F16),D55,IF(AND(G53=2,D21=1,D55&lt;=G7),D55,IF(AND(G53=2,D21=2,D55&lt;=G8),D55,IF(AND(G53=2,D21=3,D55&lt;=G9),D55,IF(AND(G53=2,D21=4,D55&lt;=G10),D55,IF(AND(G53=2,D21=5,D55&lt;=G11),D55,IF(AND(G53=2,D21=6,D55&lt;=G12),D55,IF(AND(G53=2,D21=7,D55&lt;=G13),D55,IF(AND(G53=2,D21=8,D55&lt;=G14),D55,IF(AND(G53=2,D21=9,D55&lt;=G15),D55,IF(AND(G53=2,D21=10,D55&lt;=G16),D55,IF(AND(G53=3,D21=1,D55&lt;=H7),D55,IF(AND(G53=3,D21=2,D55&lt;=H8),D55,IF(AND(G53=3,D21=3,D55&lt;=H9),D55,IF(AND(G53=3,D21=4,D55&lt;=H10),D55,IF(AND(G53=3,D21=5,D55&lt;=H11),D55,IF(AND(G53=3,D21=6,D55&lt;=H12),D55,IF(AND(G53=3,D21=7,D55&lt;=H13),D55,IF(AND(G53=3,D21=8,D55&lt;=H14),D55,IF(AND(G53=3,D21=9,D55&lt;=H15),D55,IF(AND(G53=3,D21=10,D55&lt;=H16),D55,IF(AND(G53=4,D21=1,D55&lt;=I7),D55,IF(AND(G53=4,D21=2,D55&lt;=I8),D55,IF(AND(G53=4,D21=3,D55&lt;=I9),D55,IF(AND(G53=4,D21=4,D55&lt;=I10),D55,IF(AND(G53=4,D21=5,D55&lt;=I11),D55,IF(AND(G53=4,D21=6,D55&lt;=I12),D55,IF(AND(G53=4,D21=7,D55&lt;=I13),D55,IF(AND(G53=4,D21=8,D55&lt;=I14),D55,IF(AND(G53=4,D21=9,D55&lt;=I15),D55,IF(AND(G53=4,D21=10,D55&lt;=I16),D55,IF(AND(G53=5,D21=1,D55&lt;=J7),D55,IF(AND(G53=5,D21=2,D55&lt;=J8),D55,IF(AND(G53=5,D21=3,D55&lt;=J9),D55,IF(AND(G53=5,D21=4,D55&lt;=J10),D55,IF(AND(G53=5,D21=5,D55&lt;=J11),D55,IF(AND(G53=5,D21=6,D55&lt;=J12),D55,IF(AND(G53=5,D21=7,D55&lt;=J13),D55,IF(AND(G53=5,D21=8,D55&lt;=J14),D55,IF(AND(G53=5,D21=9,D55&lt;=I15),D55,IF(AND(G53=5,D21=10,D55&lt;=I16),D55,IF(AND(OR(G53=1,G53=2,G53=3,G53=4,G53=5),D21=12,NOT(F55=0)),D55,A76)))))))))))))))))))))))))))))))))))))))))))))))))))</f>
        <v>Норма</v>
      </c>
      <c r="B38" s="542"/>
      <c r="C38" s="542"/>
      <c r="D38" s="542"/>
      <c r="E38" s="542"/>
      <c r="F38" s="542"/>
      <c r="G38" s="543"/>
      <c r="H38" s="21"/>
      <c r="I38" s="21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21"/>
    </row>
    <row r="39" spans="1:21" ht="15.75" customHeight="1" x14ac:dyDescent="0.25">
      <c r="A39" s="542" t="str">
        <f>IF(AND(G53=1,E21=1,D56&lt;=F7),D56,IF(AND(G53=1,E21=2,D56&lt;=F8),D56,IF(AND(G53=1,E21=3,D56&lt;=F9),D56,IF(AND(G53=1,E21=4,D56&lt;=F10),D56,IF(AND(G53=1,E21=5,D56&lt;=F11),D56,IF(AND(G53=1,E21=6,D56&lt;=F12),D56,IF(AND(G53=1,E21=7,D56&lt;=F13),D56,IF(AND(G53=1,E21=8,D56&lt;=F14),D56,IF(AND(G53=1,E21=9,D56&lt;=F15),D56,IF(AND(G53=1,E21=10,D56&lt;=F16),D56,IF(AND(G53=2,E21=1,D56&lt;=G7),D56,IF(AND(G53=2,E21=2,D56&lt;=G8),D56,IF(AND(G53=2,E21=3,D56&lt;=G9),D56,IF(AND(G53=2,E21=4,D56&lt;=G10),D56,IF(AND(G53=2,E21=5,D56&lt;=G11),D56,IF(AND(G53=2,E21=6,D56&lt;=G12),D56,IF(AND(G53=2,E21=7,D56&lt;=G13),D56,IF(AND(G53=2,E21=8,D56&lt;=G14),D56,IF(AND(G53=2,E21=9,D56&lt;=G15),D56,IF(AND(G53=2,E21=10,D56&lt;=G16),D56,IF(AND(G53=3,E21=1,D56&lt;=H7),D56,IF(AND(G53=3,E21=2,D56&lt;=H8),D56,IF(AND(G53=3,E21=3,D56&lt;=H9),D56,IF(AND(G53=3,E21=4,D56&lt;=H10),D56,IF(AND(G53=3,E21=5,D56&lt;=H11),D56,IF(AND(G53=3,E21=6,D56&lt;=H12),D56,IF(AND(G53=3,E21=7,D56&lt;=H13),D56,IF(AND(G53=3,E21=8,D56&lt;=H14),D56,IF(AND(G53=3,E21=9,D56&lt;=H15),D56,IF(AND(G53=3,E21=10,D56&lt;=H16),D56,IF(AND(G53=4,E21=1,D56&lt;=I7),D56,IF(AND(G53=4,E21=2,D56&lt;=I8),D56,IF(AND(G53=4,E21=3,D56&lt;=I9),D56,IF(AND(G53=4,E21=4,D56&lt;=I10),D56,IF(AND(G53=4,E21=5,D56&lt;=I11),D56,IF(AND(G53=4,E21=6,D56&lt;=I12),D56,IF(AND(G53=4,E21=7,D56&lt;=I13),D56,IF(AND(G53=4,E21=8,D56&lt;=I14),D56,IF(AND(G53=4,E21=9,D56&lt;=I15),D56,IF(AND(G53=4,E21=10,D56&lt;=I16),D56,IF(AND(G53=5,E21=1,D56&lt;=J7),D56,IF(AND(G53=5,E21=2,D56&lt;=J8),D56,IF(AND(G53=5,E21=3,D56&lt;=J9),D56,IF(AND(G53=5,E21=4,D56&lt;=J10),D56,IF(AND(G53=5,E21=5,D56&lt;=J11),D56,IF(AND(G53=5,E21=6,D56&lt;=J12),D56,IF(AND(G53=5,E21=7,D56&lt;=J13),D56,IF(AND(G53=5,E21=8,D56&lt;=J14),D56,IF(AND(G53=5,E21=9,D56&lt;=I15),D56,IF(AND(G53=5,E21=10,D56&lt;=I16),D56,IF(AND(OR(G53=1,G53=2,G53=3,G53=4,G53=5),E21=12,NOT(F56=0)),D56,A76)))))))))))))))))))))))))))))))))))))))))))))))))))</f>
        <v>Норма</v>
      </c>
      <c r="B39" s="542"/>
      <c r="C39" s="542"/>
      <c r="D39" s="542"/>
      <c r="E39" s="542"/>
      <c r="F39" s="542"/>
      <c r="G39" s="543"/>
      <c r="H39" s="21"/>
      <c r="I39" s="21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21"/>
    </row>
    <row r="40" spans="1:21" ht="15.75" customHeight="1" x14ac:dyDescent="0.25">
      <c r="A40" s="542" t="str">
        <f>IF(AND(G53=1,F21=1,D57&lt;=F7),D57,IF(AND(G53=1,F21=2,D57&lt;=F8),D57,IF(AND(G53=1,F21=3,D57&lt;=F9),D57,IF(AND(G53=1,F21=4,D57&lt;=F10),D57,IF(AND(G53=1,F21=5,D57&lt;=F11),D57,IF(AND(G53=1,F21=6,D57&lt;=F12),D57,IF(AND(G53=1,F21=7,D57&lt;=F13),D57,IF(AND(G53=1,F21=8,D57&lt;=F14),D57,IF(AND(G53=1,F21=9,D57&lt;=F15),D57,IF(AND(G53=1,F21=10,D57&lt;=F16),D57,IF(AND(G53=2,F21=1,D57&lt;=G7),D57,IF(AND(G53=2,F21=2,D57&lt;=G8),D57,IF(AND(G53=2,F21=3,D57&lt;=G9),D57,IF(AND(G53=2,F21=4,D57&lt;=G10),D57,IF(AND(G53=2,F21=5,D57&lt;=G11),D57,IF(AND(G53=2,F21=6,D57&lt;=G12),D57,IF(AND(G53=2,F21=7,D57&lt;=G13),D57,IF(AND(G53=2,F21=8,D57&lt;=G14),D57,IF(AND(G53=2,F21=9,D57&lt;=G15),D57,IF(AND(G53=2,F21=10,D57&lt;=G16),D57,IF(AND(G53=3,F21=1,D57&lt;=H7),D57,IF(AND(G53=3,F21=2,D57&lt;=H8),D57,IF(AND(G53=3,F21=3,D57&lt;=H9),D57,IF(AND(G53=3,F21=4,D57&lt;=H10),D57,IF(AND(G53=3,F21=5,D57&lt;=H11),D57,IF(AND(G53=3,F21=6,D57&lt;=H12),D57,IF(AND(G53=3,F21=7,D57&lt;=H13),D57,IF(AND(G53=3,F21=8,D57&lt;=H14),D57,IF(AND(G53=3,F21=9,D57&lt;=H15),D57,IF(AND(G53=3,F21=10,D57&lt;=H16),D57,IF(AND(G53=4,F21=1,D57&lt;=I7),D57,IF(AND(G53=4,F21=2,D57&lt;=I8),D57,IF(AND(G53=4,F21=3,D57&lt;=I9),D57,IF(AND(G53=4,F21=4,D57&lt;=I10),D57,IF(AND(G53=4,F21=5,D57&lt;=I11),D57,IF(AND(G53=4,F21=6,D57&lt;=I12),D57,IF(AND(G53=4,F21=7,D57&lt;=I13),D57,IF(AND(G53=4,F21=8,D57&lt;=I14),D57,IF(AND(G53=4,F21=9,D57&lt;=I15),D57,IF(AND(G53=4,F21=10,D57&lt;=I16),D57,IF(AND(G53=5,F21=1,D57&lt;=J7),D57,IF(AND(G53=5,F21=2,D57&lt;=J8),D57,IF(AND(G53=5,F21=3,D57&lt;=J9),D57,IF(AND(G53=5,F21=4,D57&lt;=J10),D57,IF(AND(G53=5,F21=5,D57&lt;=J11),D57,IF(AND(G53=5,F21=6,D57&lt;=J12),D57,IF(AND(G53=5,F21=7,D57&lt;=J13),D57,IF(AND(G53=5,F21=8,D57&lt;=J14),D57,IF(AND(G53=5,F21=9,D57&lt;=I15),D57,IF(AND(G53=5,F21=10,D57&lt;=I16),D57,IF(AND(OR(G53=1,G53=2,G53=3,G53=4,G53=5),F21=12,NOT(F57=0)),D57,A76)))))))))))))))))))))))))))))))))))))))))))))))))))</f>
        <v>Норма</v>
      </c>
      <c r="B40" s="542"/>
      <c r="C40" s="542"/>
      <c r="D40" s="542"/>
      <c r="E40" s="542"/>
      <c r="F40" s="542"/>
      <c r="G40" s="543"/>
      <c r="H40" s="21"/>
      <c r="I40" s="21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21"/>
    </row>
    <row r="41" spans="1:21" ht="15.75" customHeight="1" x14ac:dyDescent="0.25">
      <c r="A41" s="542" t="str">
        <f>IF(AND(G53=1,G21=1,D58&lt;=F7),D58,IF(AND(G53=1,G21=2,D58&lt;=F8),D58,IF(AND(G53=1,G21=3,D58&lt;=F9),D58,IF(AND(G53=1,G21=4,D58&lt;=F10),D58,IF(AND(G53=1,G21=5,D58&lt;=F11),D58,IF(AND(G53=1,G21=6,D58&lt;=F12),D58,IF(AND(G53=1,G21=7,D58&lt;=F13),D58,IF(AND(G53=1,G21=8,D58&lt;=F14),D58,IF(AND(G53=1,G21=9,D58&lt;=F15),D58,IF(AND(G53=1,G21=10,D58&lt;=F16),D58,IF(AND(G53=2,G21=1,D58&lt;=G7),D58,IF(AND(G53=2,G21=2,D58&lt;=G8),D58,IF(AND(G53=2,G21=3,D58&lt;=G9),D58,IF(AND(G53=2,G21=4,D58&lt;=G10),D58,IF(AND(G53=2,G21=5,D58&lt;=G11),D58,IF(AND(G53=2,G21=6,D58&lt;=G12),D58,IF(AND(G53=2,G21=7,D58&lt;=G13),D58,IF(AND(G53=2,G21=8,D58&lt;=G14),D58,IF(AND(G53=2,G21=9,D58&lt;=G15),D58,IF(AND(G53=2,G21=10,D58&lt;=G16),D58,IF(AND(G53=3,G21=1,D58&lt;=H7),D58,IF(AND(G53=3,G21=2,D58&lt;=H8),D58,IF(AND(G53=3,G21=3,D58&lt;=H9),D58,IF(AND(G53=3,G21=4,D58&lt;=H10),D58,IF(AND(G53=3,G21=5,D58&lt;=H11),D58,IF(AND(G53=3,G21=6,D58&lt;=H12),D58,IF(AND(G53=3,G21=7,D58&lt;=H13),D58,IF(AND(G53=3,G21=8,D58&lt;=H14),D58,IF(AND(G53=3,G21=9,D58&lt;=H15),D58,IF(AND(G53=3,G21=10,D58&lt;=H16),D58,IF(AND(G53=4,G21=1,D58&lt;=I7),D58,IF(AND(G53=4,G21=2,D58&lt;=I8),D58,IF(AND(G53=4,G21=3,D58&lt;=I9),D58,IF(AND(G53=4,G21=4,D58&lt;=I10),D58,IF(AND(G53=4,G21=5,D58&lt;=I11),D58,IF(AND(G53=4,G21=6,D58&lt;=I12),D58,IF(AND(G53=4,G21=7,D58&lt;=I13),D58,IF(AND(G53=4,G21=8,D58&lt;=I14),D58,IF(AND(G53=4,G21=9,D58&lt;=I15),D58,IF(AND(G53=4,G21=10,D58&lt;=I16),D58,IF(AND(G53=5,G21=1,D58&lt;=J7),D58,IF(AND(G53=5,G21=2,D58&lt;=J8),D58,IF(AND(G53=5,G21=3,D58&lt;=J9),D58,IF(AND(G53=5,G21=4,D58&lt;=J10),D58,IF(AND(G53=5,G21=5,D58&lt;=J11),D58,IF(AND(G53=5,G21=6,D58&lt;=J12),D58,IF(AND(G53=5,G21=7,D58&lt;=J13),D58,IF(AND(G53=5,G21=8,D58&lt;=J14),D58,IF(AND(G53=5,G21=9,D58&lt;=I15),D58,IF(AND(G53=5,G21=10,D58&lt;=I16),D58,IF(AND(OR(G53=1,G53=2,G53=3,G53=4,G53=5),G21=12,NOT(F58=0)),D58,A76)))))))))))))))))))))))))))))))))))))))))))))))))))</f>
        <v>Норма</v>
      </c>
      <c r="B41" s="542"/>
      <c r="C41" s="542"/>
      <c r="D41" s="542"/>
      <c r="E41" s="542"/>
      <c r="F41" s="542"/>
      <c r="G41" s="543"/>
      <c r="H41" s="21"/>
      <c r="I41" s="21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21"/>
    </row>
    <row r="42" spans="1:21" ht="15.75" customHeight="1" x14ac:dyDescent="0.25">
      <c r="A42" s="542" t="str">
        <f>IF(AND(G53=1,H21=1,D59&lt;=F7),D59,IF(AND(G53=1,H21=2,D59&lt;=F8),D59,IF(AND(G53=1,H21=3,D59&lt;=F9),D59,IF(AND(G53=1,H21=4,D59&lt;=F10),D59,IF(AND(G53=1,H21=5,D59&lt;=F11),D59,IF(AND(G53=1,H21=6,D59&lt;=F12),D59,IF(AND(G53=1,H21=7,D59&lt;=F13),D59,IF(AND(G53=1,H21=8,D59&lt;=F14),D59,IF(AND(G53=1,H21=9,D59&lt;=F15),D59,IF(AND(G53=1,H21=10,D59&lt;=F16),D59,IF(AND(G53=2,H21=1,D59&lt;=G7),D59,IF(AND(G53=2,H21=2,D59&lt;=G8),D59,IF(AND(G53=2,H21=3,D59&lt;=G9),D59,IF(AND(G53=2,H21=4,D59&lt;=G10),D59,IF(AND(G53=2,H21=5,D59&lt;=G11),D59,IF(AND(G53=2,H21=6,D59&lt;=G12),D59,IF(AND(G53=2,H21=7,D59&lt;=G13),D59,IF(AND(G53=2,H21=8,D59&lt;=G14),D59,IF(AND(G53=2,H21=9,D59&lt;=G15),D59,IF(AND(G53=2,H21=10,D59&lt;=G16),D59,IF(AND(G53=3,H21=1,D59&lt;=H7),D59,IF(AND(G53=3,H21=2,D59&lt;=H8),D59,IF(AND(G53=3,H21=3,D59&lt;=H9),D59,IF(AND(G53=3,H21=4,D59&lt;=H10),D59,IF(AND(G53=3,H21=5,D59&lt;=H11),D59,IF(AND(G53=3,H21=6,D59&lt;=H12),D59,IF(AND(G53=3,H21=7,D59&lt;=H13),D59,IF(AND(G53=3,H21=8,D59&lt;=H14),D59,IF(AND(G53=3,H21=9,D59&lt;=H15),D59,IF(AND(G53=3,H21=10,D59&lt;=H16),D59,IF(AND(G53=4,H21=1,D59&lt;=I7),D59,IF(AND(G53=4,H21=2,D59&lt;=I8),D59,IF(AND(G53=4,H21=3,D59&lt;=I9),D59,IF(AND(G53=4,H21=4,D59&lt;=I10),D59,IF(AND(G53=4,H21=5,D59&lt;=I11),D59,IF(AND(G53=4,H21=6,D59&lt;=I12),D59,IF(AND(G53=4,H21=7,D59&lt;=I13),D59,IF(AND(G53=4,H21=8,D59&lt;=I14),D59,IF(AND(G53=4,H21=9,D59&lt;=I15),D59,IF(AND(G53=4,H21=10,D59&lt;=I16),D59,IF(AND(G53=5,H21=1,D59&lt;=J7),D59,IF(AND(G53=5,H21=2,D59&lt;=J8),D59,IF(AND(G53=5,H21=3,D59&lt;=J9),D59,IF(AND(G53=5,H21=4,D59&lt;=J10),D59,IF(AND(G53=5,H21=5,D59&lt;=J11),D59,IF(AND(G53=5,H21=6,D59&lt;=J12),D59,IF(AND(G53=5,H21=7,D59&lt;=J13),D59,IF(AND(G53=5,H21=8,D59&lt;=J14),D59,IF(AND(G53=5,H21=9,D59&lt;=I15),D59,IF(AND(G53=5,H21=10,D59&lt;=I16),D59,IF(AND(OR(G53=1,G53=2,G53=3,G53=4,G53=5),H21=12,NOT(F59=0)),D59,A76)))))))))))))))))))))))))))))))))))))))))))))))))))</f>
        <v>Норма</v>
      </c>
      <c r="B42" s="542"/>
      <c r="C42" s="542"/>
      <c r="D42" s="542"/>
      <c r="E42" s="542"/>
      <c r="F42" s="542"/>
      <c r="G42" s="543"/>
      <c r="H42" s="21"/>
      <c r="I42" s="21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21"/>
    </row>
    <row r="43" spans="1:21" ht="15.75" customHeight="1" x14ac:dyDescent="0.25">
      <c r="A43" s="542" t="str">
        <f>IF(AND(G53=1,I21=1,D60&lt;=F7),D60,IF(AND(G53=1,I21=2,D60&lt;=F8),D60,IF(AND(G53=1,I21=3,D60&lt;=F9),D60,IF(AND(G53=1,I21=4,D60&lt;=F10),D60,IF(AND(G53=1,I21=5,D60&lt;=F11),D60,IF(AND(G53=1,I21=6,D60&lt;=F12),D60,IF(AND(G53=1,I21=7,D60&lt;=F13),D60,IF(AND(G53=1,I21=8,D60&lt;=F14),D60,IF(AND(G53=1,I21=9,D60&lt;=F15),D60,IF(AND(G53=1,I21=10,D60&lt;=F16),D60,IF(AND(G53=2,I21=1,D60&lt;=G7),D60,IF(AND(G53=2,I21=2,D60&lt;=G8),D60,IF(AND(G53=2,I21=3,D60&lt;=G9),D60,IF(AND(G53=2,I21=4,D60&lt;=G10),D60,IF(AND(G53=2,I21=5,D60&lt;=G11),D60,IF(AND(G53=2,I21=6,D60&lt;=G12),D60,IF(AND(G53=2,I21=7,D60&lt;=G13),D60,IF(AND(G53=2,I21=8,D60&lt;=G14),D60,IF(AND(G53=2,I21=9,D60&lt;=G15),D60,IF(AND(G53=2,I21=10,D60&lt;=G16),D60,IF(AND(G53=3,I21=1,D60&lt;=H7),D60,IF(AND(G53=3,I21=2,D60&lt;=H8),D60,IF(AND(G53=3,I21=3,D60&lt;=H9),D60,IF(AND(G53=3,I21=4,D60&lt;=H10),D60,IF(AND(G53=3,I21=5,D60&lt;=H11),D60,IF(AND(G53=3,I21=6,D60&lt;=H12),D60,IF(AND(G53=3,I21=7,D60&lt;=H13),D60,IF(AND(G53=3,I21=8,D60&lt;=H14),D60,IF(AND(G53=3,I21=9,D60&lt;=H15),D60,IF(AND(G53=3,I21=10,D60&lt;=H16),D60,IF(AND(G53=4,I21=1,D60&lt;=I7),D60,IF(AND(G53=4,I21=2,D60&lt;=I8),D60,IF(AND(G53=4,I21=3,D60&lt;=I9),D60,IF(AND(G53=4,I21=4,D60&lt;=I10),D60,IF(AND(G53=4,I21=5,D60&lt;=I11),D60,IF(AND(G53=4,I21=6,D60&lt;=I12),D60,IF(AND(G53=4,I21=7,D60&lt;=I13),D60,IF(AND(G53=4,I21=8,D60&lt;=I14),D60,IF(AND(G53=4,I21=9,D60&lt;=I15),D60,IF(AND(G53=4,I21=10,D60&lt;=I16),D60,IF(AND(G53=5,I21=1,D60&lt;=J7),D60,IF(AND(G53=5,I21=2,D60&lt;=J8),D60,IF(AND(G53=5,I21=3,D60&lt;=J9),D60,IF(AND(G53=5,I21=4,D60&lt;=J10),D60,IF(AND(G53=5,I21=5,D60&lt;=J11),D60,IF(AND(G53=5,I21=6,D60&lt;=J12),D60,IF(AND(G53=5,I21=7,D60&lt;=J13),D60,IF(AND(G53=5,I21=8,D60&lt;=J14),D60,IF(AND(G53=5,I21=9,D60&lt;=I15),D60,IF(AND(G53=5,I21=10,D60&lt;=I16),D60,IF(AND(OR(G53=1,G53=2,G53=3,G53=4,G53=5),I21=12,NOT(F60=0)),D60,A76)))))))))))))))))))))))))))))))))))))))))))))))))))</f>
        <v>Норма</v>
      </c>
      <c r="B43" s="542"/>
      <c r="C43" s="542"/>
      <c r="D43" s="542"/>
      <c r="E43" s="542"/>
      <c r="F43" s="542"/>
      <c r="G43" s="543"/>
      <c r="H43" s="21"/>
      <c r="I43" s="21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21"/>
    </row>
    <row r="44" spans="1:21" ht="15.75" customHeight="1" x14ac:dyDescent="0.25">
      <c r="A44" s="542" t="str">
        <f>IF(AND(G53=1,J21=1,D61&lt;=F7),D61,IF(AND(G53=1,J21=2,D61&lt;=F8),D61,IF(AND(G53=1,J21=3,D61&lt;=F9),D61,IF(AND(G53=1,J21=4,D61&lt;=F10),D61,IF(AND(G53=1,J21=5,D61&lt;=F11),D61,IF(AND(G53=1,J21=6,D61&lt;=F12),D61,IF(AND(G53=1,J21=7,D61&lt;=F13),D61,IF(AND(G53=1,J21=8,D61&lt;=F14),D61,IF(AND(G53=1,J21=9,D61&lt;=F15),D61,IF(AND(G53=1,J21=10,D61&lt;=F16),D61,IF(AND(G53=2,J21=1,D61&lt;=G7),D61,IF(AND(G53=2,J21=2,D61&lt;=G8),D61,IF(AND(G53=2,J21=3,D61&lt;=G9),D61,IF(AND(G53=2,J21=4,D61&lt;=G10),D61,IF(AND(G53=2,J21=5,D61&lt;=G11),D61,IF(AND(G53=2,J21=6,D61&lt;=G12),D61,IF(AND(G53=2,J21=7,D61&lt;=G13),D61,IF(AND(G53=2,J21=8,D61&lt;=G14),D61,IF(AND(G53=2,J21=9,D61&lt;=G15),D61,IF(AND(G53=2,J21=10,D61&lt;=G16),D61,IF(AND(G53=3,J21=1,D61&lt;=H7),D61,IF(AND(G53=3,J21=2,D61&lt;=H8),D61,IF(AND(G53=3,J21=3,D61&lt;=H9),D61,IF(AND(G53=3,J21=4,D61&lt;=H10),D61,IF(AND(G53=3,J21=5,D61&lt;=H11),D61,IF(AND(G53=3,J21=6,D61&lt;=H12),D61,IF(AND(G53=3,J21=7,D61&lt;=H13),D61,IF(AND(G53=3,J21=8,D61&lt;=H14),D61,IF(AND(G53=3,J21=9,D61&lt;=H15),D61,IF(AND(G53=3,J21=10,D61&lt;=H16),D61,IF(AND(G53=4,J21=1,D61&lt;=I7),D61,IF(AND(G53=4,J21=2,D61&lt;=I8),D61,IF(AND(G53=4,J21=3,D61&lt;=I9),D61,IF(AND(G53=4,J21=4,D61&lt;=I10),D61,IF(AND(G53=4,J21=5,D61&lt;=I11),D61,IF(AND(G53=4,J21=6,D61&lt;=I12),D61,IF(AND(G53=4,J21=7,D61&lt;=I13),D61,IF(AND(G53=4,J21=8,D61&lt;=I14),D61,IF(AND(G53=4,J21=9,D61&lt;=I15),D61,IF(AND(G53=4,J21=10,D61&lt;=I16),D61,IF(AND(G53=5,J21=1,D61&lt;=J7),D61,IF(AND(G53=5,J21=2,D61&lt;=J8),D61,IF(AND(G53=5,J21=3,D61&lt;=J9),D61,IF(AND(G53=5,J21=4,D61&lt;=J10),D61,IF(AND(G53=5,J21=5,D61&lt;=J11),D61,IF(AND(G53=5,J21=6,D61&lt;=J12),D61,IF(AND(G53=5,J21=7,D61&lt;=J13),D61,IF(AND(G53=5,J21=8,D61&lt;=J14),D61,IF(AND(G53=5,J21=9,D61&lt;=I15),D61,IF(AND(G53=5,J21=10,D61&lt;=I16),D61,IF(AND(OR(G53=1,G53=2,G53=3,G53=4,G53=5),J21=12,NOT(F61=0)),D61,A76)))))))))))))))))))))))))))))))))))))))))))))))))))</f>
        <v>Норма</v>
      </c>
      <c r="B44" s="542"/>
      <c r="C44" s="542"/>
      <c r="D44" s="542"/>
      <c r="E44" s="542"/>
      <c r="F44" s="542"/>
      <c r="G44" s="543"/>
      <c r="H44" s="21"/>
      <c r="I44" s="21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21"/>
    </row>
    <row r="45" spans="1:21" ht="15.75" thickBot="1" x14ac:dyDescent="0.3">
      <c r="A45" s="544" t="str">
        <f>IF(AND(G53=1,K21=1,D62&lt;=F7),D62,IF(AND(G53=1,K21=2,D62&lt;=F8),D62,IF(AND(G53=1,K21=3,D62&lt;=F9),D62,IF(AND(G53=1,K21=4,D62&lt;=F10),D62,IF(AND(G53=1,K21=5,D62&lt;=F11),D62,IF(AND(G53=1,K21=6,D62&lt;=F12),D62,IF(AND(G53=1,K21=7,D62&lt;=F13),D62,IF(AND(G53=1,K21=8,D62&lt;=F14),D62,IF(AND(G53=1,K21=9,D62&lt;=F15),D62,IF(AND(G53=1,K21=10,D62&lt;=F16),D62,IF(AND(G53=2,K21=1,D62&lt;=G7),D62,IF(AND(G53=2,K21=2,D62&lt;=G8),D62,IF(AND(G53=2,K21=3,D62&lt;=G9),D62,IF(AND(G53=2,K21=4,D62&lt;=G10),D62,IF(AND(G53=2,K21=5,D62&lt;=G11),D62,IF(AND(G53=2,K21=6,D62&lt;=G12),D62,IF(AND(G53=2,K21=7,D62&lt;=G13),D62,IF(AND(G53=2,K21=8,D62&lt;=G14),D62,IF(AND(G53=2,K21=9,D62&lt;=G15),D62,IF(AND(G53=2,K21=10,D62&lt;=G16),D62,IF(AND(G53=3,K21=1,D62&lt;=H7),D62,IF(AND(G53=3,K21=2,D62&lt;=H8),D62,IF(AND(G53=3,K21=3,D62&lt;=H9),D62,IF(AND(G53=3,K21=4,D62&lt;=H10),D62,IF(AND(G53=3,K21=5,D62&lt;=H11),D62,IF(AND(G53=3,K21=6,D62&lt;=H12),D62,IF(AND(G53=3,K21=7,D62&lt;=H13),D62,IF(AND(G53=3,K21=8,D62&lt;=H14),D62,IF(AND(G53=3,K21=9,D62&lt;=H15),D62,IF(AND(G53=3,K21=10,D62&lt;=H16),D62,IF(AND(G53=4,K21=1,D62&lt;=I7),D62,IF(AND(G53=4,K21=2,D62&lt;=I8),D62,IF(AND(G53=4,K21=3,D62&lt;=I9),D62,IF(AND(G53=4,K21=4,D62&lt;=I10),D62,IF(AND(G53=4,K21=5,D62&lt;=I11),D62,IF(AND(G53=4,K21=6,D62&lt;=I12),D62,IF(AND(G53=4,K21=7,D62&lt;=I13),D62,IF(AND(G53=4,K21=8,D62&lt;=I14),D62,IF(AND(G53=4,K21=9,D62&lt;=I15),D62,IF(AND(G53=4,K21=10,D62&lt;=I16),D62,IF(AND(G53=5,K21=1,D62&lt;=J7),D62,IF(AND(G53=5,K21=2,D62&lt;=J8),D62,IF(AND(G53=5,K21=3,D62&lt;=J9),D62,IF(AND(G53=5,K21=4,D62&lt;=J10),D62,IF(AND(G53=5,K21=5,D62&lt;=J11),D62,IF(AND(G53=5,K21=6,D62&lt;=J12),D62,IF(AND(G53=5,K21=7,D62&lt;=J13),D62,IF(AND(G53=5,K21=8,D62&lt;=J14),D62,IF(AND(G53=5,K21=9,D62&lt;=I15),D62,IF(AND(G53=5,K21=10,D62&lt;=I16),D62,IF(AND(OR(G53=1,G53=2,G53=3,G53=4,G53=5),K21=12,NOT(F62=0)),D62,A76)))))))))))))))))))))))))))))))))))))))))))))))))))</f>
        <v>Норма</v>
      </c>
      <c r="B45" s="544"/>
      <c r="C45" s="544"/>
      <c r="D45" s="544"/>
      <c r="E45" s="544"/>
      <c r="F45" s="544"/>
      <c r="G45" s="545"/>
      <c r="H45" s="21"/>
      <c r="I45" s="21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21"/>
    </row>
    <row r="46" spans="1:21" ht="16.5" thickBot="1" x14ac:dyDescent="0.3">
      <c r="A46" s="509" t="s">
        <v>93</v>
      </c>
      <c r="B46" s="510"/>
      <c r="C46" s="510"/>
      <c r="D46" s="510"/>
      <c r="E46" s="510"/>
      <c r="F46" s="510"/>
      <c r="G46" s="511"/>
      <c r="H46" s="21"/>
      <c r="I46" s="21"/>
      <c r="J46" s="99" t="str">
        <f>IF(AND(NOT(A53="-"),NOT(A54="-"),NOT(A55="-"),NOT(A56="-"),NOT(A57="-"),NOT(A58="-"),NOT(A59="-"),NOT(A60="-"),NOT(A61="-"),NOT(A62="-")),"(","")</f>
        <v/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21"/>
    </row>
    <row r="47" spans="1:21" ht="15" customHeight="1" thickBot="1" x14ac:dyDescent="0.3">
      <c r="A47" s="506" t="str">
        <f>CONCATENATE(J49,IF(NOT(A53="-"),CONCATENATE(A53,A36),""),IF(NOT(A54="-"),CONCATENATE(" - ",A54,A37),""),IF(NOT(A55="-"),CONCATENATE(" - ",A55,A38),""),IF(NOT(A56="-"),CONCATENATE(" - ",A56,A39),""),IF(NOT(A57="-"),CONCATENATE(" - ",A57,A40),""),IF(NOT(A58="-"),CONCATENATE(" - ",A58,A41),""),IF(NOT(A59="-"),CONCATENATE(" - ",A59,A42),""),IF(NOT(A60="-"),CONCATENATE(" - ",A60,A43),""),IF(NOT(A61="-"),CONCATENATE(" - ",A61,A44),""),IF(NOT(A62="-"),CONCATENATE(" - ",A62,A45),""),K49)</f>
        <v/>
      </c>
      <c r="B47" s="507"/>
      <c r="C47" s="507"/>
      <c r="D47" s="507"/>
      <c r="E47" s="507"/>
      <c r="F47" s="507"/>
      <c r="G47" s="508"/>
      <c r="H47" s="100"/>
      <c r="I47" s="101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21"/>
    </row>
    <row r="48" spans="1:21" ht="15" customHeight="1" thickBot="1" x14ac:dyDescent="0.3">
      <c r="A48" s="509" t="s">
        <v>94</v>
      </c>
      <c r="B48" s="510"/>
      <c r="C48" s="510"/>
      <c r="D48" s="510"/>
      <c r="E48" s="510"/>
      <c r="F48" s="510"/>
      <c r="G48" s="511"/>
      <c r="H48" s="101"/>
      <c r="I48" s="102"/>
      <c r="J48" s="99"/>
      <c r="K48" s="99"/>
      <c r="L48" s="548" t="s">
        <v>201</v>
      </c>
      <c r="M48" s="549"/>
      <c r="N48" s="549"/>
      <c r="O48" s="549"/>
      <c r="P48" s="549"/>
      <c r="Q48" s="549"/>
      <c r="R48" s="550"/>
      <c r="S48" s="99"/>
      <c r="T48" s="99"/>
      <c r="U48" s="21"/>
    </row>
    <row r="49" spans="1:21" ht="15" customHeight="1" thickBot="1" x14ac:dyDescent="0.3">
      <c r="A49" s="506" t="str">
        <f>IF(AND(A66="Норма",A68=1),A47,IF(AND(A66="Норма",A68=2),CONCATENATE(A47," / ","(","Двухрядное расположение",")"),A68))</f>
        <v/>
      </c>
      <c r="B49" s="507"/>
      <c r="C49" s="507"/>
      <c r="D49" s="507"/>
      <c r="E49" s="507"/>
      <c r="F49" s="507"/>
      <c r="G49" s="508"/>
      <c r="H49" s="21"/>
      <c r="I49" s="102"/>
      <c r="J49" s="157" t="str">
        <f>IF(AND(A53="-",A54="-",A55="-",A56="-",A57="-",A58="-",A59="-",A60="-",A61="-",A62="-"),""," - (")</f>
        <v/>
      </c>
      <c r="K49" s="157" t="str">
        <f>IF(AND(A53="-",A54="-",A55="-",A56="-",A57="-",A58="-",A59="-",A60="-",A61="-",A62="-"),"",")")</f>
        <v/>
      </c>
      <c r="L49" s="162" t="str">
        <f>IF(A49=L48,"Х","НОРМА")</f>
        <v>НОРМА</v>
      </c>
      <c r="M49" s="99"/>
      <c r="N49" s="99"/>
      <c r="O49" s="99"/>
      <c r="P49" s="99"/>
      <c r="Q49" s="99"/>
      <c r="R49" s="99"/>
      <c r="S49" s="99"/>
      <c r="T49" s="99"/>
      <c r="U49" s="21"/>
    </row>
    <row r="50" spans="1:21" ht="15" customHeight="1" thickBot="1" x14ac:dyDescent="0.3">
      <c r="A50" s="101"/>
      <c r="B50" s="101"/>
      <c r="C50" s="101"/>
      <c r="D50" s="101"/>
      <c r="E50" s="101"/>
      <c r="F50" s="101"/>
      <c r="G50" s="101"/>
      <c r="H50" s="101"/>
      <c r="I50" s="103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21"/>
    </row>
    <row r="51" spans="1:21" x14ac:dyDescent="0.25">
      <c r="A51" s="502" t="s">
        <v>59</v>
      </c>
      <c r="B51" s="503"/>
      <c r="C51" s="503"/>
      <c r="D51" s="502" t="s">
        <v>75</v>
      </c>
      <c r="E51" s="503"/>
      <c r="F51" s="512"/>
      <c r="G51" s="516" t="s">
        <v>82</v>
      </c>
      <c r="H51" s="514" t="s">
        <v>79</v>
      </c>
      <c r="I51" s="98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21"/>
    </row>
    <row r="52" spans="1:21" ht="16.5" customHeight="1" thickBot="1" x14ac:dyDescent="0.3">
      <c r="A52" s="504"/>
      <c r="B52" s="505"/>
      <c r="C52" s="505"/>
      <c r="D52" s="504"/>
      <c r="E52" s="505"/>
      <c r="F52" s="513"/>
      <c r="G52" s="517"/>
      <c r="H52" s="515"/>
      <c r="I52" s="104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21"/>
    </row>
    <row r="53" spans="1:21" ht="18.75" customHeight="1" x14ac:dyDescent="0.25">
      <c r="A53" s="530" t="str">
        <f>IF(Клеммы!B21=1,1,IF(Клеммы!B21=2,2,IF(Клеммы!B21=3,3,IF(Клеммы!B21=4,4,IF(Клеммы!B21=5,5,IF(Клеммы!B21=6,6,IF(Клеммы!B21=7,7,IF(Клеммы!B21=8,8,IF(Клеммы!B21=9,9,IF(Клеммы!B21=11,"-",IF(Клеммы!B21=10,"А",IF(Клеммы!B21=12,"Д"))))))))))))</f>
        <v>-</v>
      </c>
      <c r="B53" s="531"/>
      <c r="C53" s="532"/>
      <c r="D53" s="546" t="str">
        <f>IF('Опросный лист'!H19=0,"-",'Опросный лист'!H19)</f>
        <v>-</v>
      </c>
      <c r="E53" s="547"/>
      <c r="F53" s="47">
        <f>IF(D53="-",0,D53)</f>
        <v>0</v>
      </c>
      <c r="G53" s="539">
        <f>Габариты!I13</f>
        <v>1</v>
      </c>
      <c r="H53" s="539">
        <v>1</v>
      </c>
      <c r="I53" s="98"/>
      <c r="J53" s="48" t="str">
        <f>IF(B21=1,L7,IF(B21=2,L8,IF(B21=3,L9,IF(B21=4,L10,IF(B21=5,L11,IF(B21=6,L12,IF(B21=7,L13,IF(B21=8,L14,IF(B21=9,L15,IF(B21=10,L16,IF(B21=12,L17,IF(B21=11,"-"))))))))))))</f>
        <v>-</v>
      </c>
      <c r="K53" s="49" t="str">
        <f>IF(B21=1,C7,IF(B21=2,C8,IF(B21=3,C9,IF(B21=4,C10,IF(B21=5,C11,IF(B21=6,C12,IF(B21=7,C13,IF(B21=8,C14,IF(B21=9,C15,IF(B21=10,C16,IF(B21=11,"-",IF(B21=12,"-"))))))))))))</f>
        <v>-</v>
      </c>
      <c r="L53" s="49" t="str">
        <f>IF(B21=1,D7,IF(B21=2,D8,IF(B21=3,D9,IF(B21=4,D10,IF(B21=5,D11,IF(B21=6,D12,IF(B21=7,D13,IF(B21=8,D14,IF(B21=9,D15,IF(B21=10,D16,IF(B21=11,"-",IF(B21=12,"-"))))))))))))</f>
        <v>-</v>
      </c>
      <c r="M53" s="50" t="str">
        <f>IF(B21=1,E7,IF(B21=2,E8,IF(B21=3,E9,IF(B21=4,E10,IF(B21=5,E11,IF(B21=6,E12,IF(B21=7,E13,IF(B21=8,E14,IF(B21=9,E15,IF(B21=10,E16,IF(B21=11,"-",IF(B21=12,"-"))))))))))))</f>
        <v>-</v>
      </c>
      <c r="N53" s="21"/>
      <c r="O53" s="21"/>
      <c r="P53" s="21"/>
      <c r="Q53" s="21"/>
      <c r="R53" s="21"/>
      <c r="S53" s="21"/>
      <c r="T53" s="21"/>
      <c r="U53" s="21"/>
    </row>
    <row r="54" spans="1:21" ht="15.75" x14ac:dyDescent="0.25">
      <c r="A54" s="456" t="str">
        <f>IF(Клеммы!C21=1,1,IF(Клеммы!C21=2,2,IF(Клеммы!C21=3,3,IF(Клеммы!C21=4,4,IF(Клеммы!C21=5,5,IF(Клеммы!C21=6,6,IF(Клеммы!C21=7,7,IF(Клеммы!C21=8,8,IF(Клеммы!C21=9,9,IF(Клеммы!C21=11,"-",IF(Клеммы!C21=10,"А",IF(Клеммы!C21=12,"Д"))))))))))))</f>
        <v>-</v>
      </c>
      <c r="B54" s="457"/>
      <c r="C54" s="458"/>
      <c r="D54" s="470" t="str">
        <f>IF('Опросный лист'!H20=0,"-",'Опросный лист'!H20)</f>
        <v>-</v>
      </c>
      <c r="E54" s="471"/>
      <c r="F54" s="51">
        <f>IF(D54="-",0,D54)</f>
        <v>0</v>
      </c>
      <c r="G54" s="540"/>
      <c r="H54" s="540"/>
      <c r="I54" s="21"/>
      <c r="J54" s="52" t="str">
        <f>IF(C21=1,L7,IF(C21=2,L8,IF(C21=3,L9,IF(C21=4,L10,IF(C21=5,L11,IF(C21=6,L12,IF(C21=7,L13,IF(C21=8,L14,IF(C21=9,L15,IF(C21=10,L16,IF(C21=11,L17,IF(C21=12,"-"))))))))))))</f>
        <v>-</v>
      </c>
      <c r="K54" s="53" t="str">
        <f>IF(C21=1,C7,IF(C21=2,C8,IF(C21=3,C9,IF(C21=4,C10,IF(C21=5,C11,IF(C21=6,C12,IF(C21=7,C13,IF(C21=8,C14,IF(C21=9,C15,IF(C21=10,C16,IF(C21=11,"-",IF(C21=12,"-"))))))))))))</f>
        <v>-</v>
      </c>
      <c r="L54" s="53" t="str">
        <f>IF(C21=1,D7,IF(C21=2,D8,IF(C21=3,D9,IF(C21=4,D10,IF(C21=5,D11,IF(C21=6,D12,IF(C21=7,D13,IF(C21=8,D14,IF(C21=9,D15,IF(C21=10,D16,IF(C21=11,"-",IF(C21=12,"-"))))))))))))</f>
        <v>-</v>
      </c>
      <c r="M54" s="54" t="str">
        <f>IF(C21=1,E7,IF(C21=2,E8,IF(C21=3,E9,IF(C21=4,E10,IF(C21=5,E11,IF(C21=6,E12,IF(C21=7,E13,IF(C21=8,E14,IF(C21=9,E15,IF(C21=10,E16,IF(C21=11,"-",IF(C21=12,"-"))))))))))))</f>
        <v>-</v>
      </c>
      <c r="N54" s="21"/>
      <c r="O54" s="21"/>
      <c r="P54" s="21"/>
      <c r="Q54" s="21"/>
      <c r="R54" s="21"/>
      <c r="S54" s="21"/>
      <c r="T54" s="21"/>
      <c r="U54" s="21"/>
    </row>
    <row r="55" spans="1:21" ht="15.75" x14ac:dyDescent="0.25">
      <c r="A55" s="456" t="str">
        <f>IF(Клеммы!D21=1,1,IF(Клеммы!D21=2,2,IF(Клеммы!D21=3,3,IF(Клеммы!D21=4,4,IF(Клеммы!D21=5,5,IF(Клеммы!D21=6,6,IF(Клеммы!D21=7,7,IF(Клеммы!D21=8,8,IF(Клеммы!D21=9,9,IF(Клеммы!D21=11,"-",IF(Клеммы!D21=10,"А",IF(Клеммы!D21=12,"Д"))))))))))))</f>
        <v>-</v>
      </c>
      <c r="B55" s="457"/>
      <c r="C55" s="458"/>
      <c r="D55" s="470" t="str">
        <f>IF('Опросный лист'!H21=0,"-",'Опросный лист'!H21)</f>
        <v>-</v>
      </c>
      <c r="E55" s="471"/>
      <c r="F55" s="51">
        <f t="shared" ref="F55:F62" si="1">IF(D55="-",0,D55)</f>
        <v>0</v>
      </c>
      <c r="G55" s="540"/>
      <c r="H55" s="540"/>
      <c r="I55" s="21"/>
      <c r="J55" s="52" t="str">
        <f>IF(D21=1,L7,IF(D21=2,L8,IF(D21=3,L9,IF(D21=4,L10,IF(D21=5,L11,IF(D21=6,L12,IF(D21=7,L13,IF(D21=8,L14,IF(D21=9,L15,IF(D21=10,L16,IF(D21=11,L17,IF(D21=12,"-"))))))))))))</f>
        <v>-</v>
      </c>
      <c r="K55" s="53" t="str">
        <f>IF(D21=1,C7,IF(D21=2,C8,IF(D21=3,C9,IF(D21=4,C10,IF(D21=5,C11,IF(D21=6,C12,IF(D21=7,C13,IF(D21=8,C14,IF(D21=9,C15,IF(D21=10,C16,IF(D21=11,"-",IF(D21=12,"-"))))))))))))</f>
        <v>-</v>
      </c>
      <c r="L55" s="53" t="str">
        <f>IF(D21=1,D7,IF(D21=2,D8,IF(D21=3,D9,IF(D21=4,D10,IF(D21=5,D11,IF(D21=6,D12,IF(D21=7,D13,IF(D21=8,D14,IF(D21=9,D15,IF(D21=10,D16,IF(D21=11,"-",IF(D21=12,"-"))))))))))))</f>
        <v>-</v>
      </c>
      <c r="M55" s="54" t="str">
        <f>IF(D21=1,E7,IF(D21=2,E8,IF(D21=3,E9,IF(D21=4,E10,IF(D21=5,E11,IF(D21=6,E12,IF(D21=7,E13,IF(D21=8,E14,IF(D21=9,E15,IF(D21=10,E16,IF(D21=11,"-",IF(D21=12,"-"))))))))))))</f>
        <v>-</v>
      </c>
      <c r="N55" s="21"/>
      <c r="O55" s="21"/>
      <c r="P55" s="21"/>
      <c r="Q55" s="21"/>
      <c r="R55" s="21"/>
      <c r="S55" s="21"/>
      <c r="T55" s="21"/>
      <c r="U55" s="21"/>
    </row>
    <row r="56" spans="1:21" ht="15.75" x14ac:dyDescent="0.25">
      <c r="A56" s="456" t="str">
        <f>IF(Клеммы!E21=1,1,IF(Клеммы!E21=2,2,IF(Клеммы!E21=3,3,IF(Клеммы!E21=4,4,IF(Клеммы!E21=5,5,IF(Клеммы!E21=6,6,IF(Клеммы!E21=7,7,IF(Клеммы!E21=8,8,IF(Клеммы!E21=9,9,IF(Клеммы!E21=11,"-",IF(Клеммы!E21=10,"А",IF(Клеммы!E21=12,'Опросный лист'!B37))))))))))))</f>
        <v>-</v>
      </c>
      <c r="B56" s="457"/>
      <c r="C56" s="458"/>
      <c r="D56" s="470" t="str">
        <f>IF('Опросный лист'!H22=0,"-",'Опросный лист'!H22)</f>
        <v>-</v>
      </c>
      <c r="E56" s="471"/>
      <c r="F56" s="51">
        <f t="shared" si="1"/>
        <v>0</v>
      </c>
      <c r="G56" s="540"/>
      <c r="H56" s="540"/>
      <c r="I56" s="21"/>
      <c r="J56" s="52" t="str">
        <f>IF(E21=1,L7,IF(E21=2,L8,IF(E21=3,L9,IF(E21=4,L10,IF(E21=5,L11,IF(E21=6,L12,IF(E21=7,L13,IF(E21=8,L14,IF(E21=9,L15,IF(E21=10,L16,IF(E21=11,L17,IF(E21=12,"-"))))))))))))</f>
        <v>-</v>
      </c>
      <c r="K56" s="53" t="str">
        <f>IF(E21=1,C7,IF(E21=2,C8,IF(E21=3,C9,IF(E21=4,C10,IF(E21=5,C11,IF(E21=6,C12,IF(E21=7,C13,IF(E21=8,C14,IF(E21=9,C15,IF(E21=10,C16,IF(E21=11,"-",IF(E21=12,"-"))))))))))))</f>
        <v>-</v>
      </c>
      <c r="L56" s="53" t="str">
        <f>IF(E21=1,D7,IF(E21=2,D8,IF(E21=3,D9,IF(E21=4,D10,IF(E21=5,D11,IF(E21=6,D12,IF(E21=7,D13,IF(E21=8,D14,IF(E21=9,D15,IF(E21=10,D16,IF(E21=11,"-",IF(E21=12,"-"))))))))))))</f>
        <v>-</v>
      </c>
      <c r="M56" s="54" t="str">
        <f>IF(E21=1,E7,IF(E21=2,E8,IF(E21=3,E9,IF(E21=4,E10,IF(E21=5,E11,IF(E21=6,E12,IF(E21=7,E13,IF(E21=8,E14,IF(E21=9,E15,IF(E21=10,E16,IF(E21=11,"-",IF(E21=12,"-"))))))))))))</f>
        <v>-</v>
      </c>
      <c r="N56" s="21"/>
      <c r="O56" s="21"/>
      <c r="P56" s="21"/>
      <c r="Q56" s="21"/>
      <c r="R56" s="21"/>
      <c r="S56" s="21"/>
      <c r="T56" s="21"/>
      <c r="U56" s="21"/>
    </row>
    <row r="57" spans="1:21" ht="15.75" x14ac:dyDescent="0.25">
      <c r="A57" s="456" t="str">
        <f>IF(Клеммы!F21=1,1,IF(Клеммы!F21=2,2,IF(Клеммы!F21=3,3,IF(Клеммы!F21=4,4,IF(Клеммы!F21=5,5,IF(Клеммы!F21=6,6,IF(Клеммы!F21=7,7,IF(Клеммы!F21=8,8,IF(Клеммы!F21=9,9,IF(Клеммы!F21=11,"-",IF(Клеммы!F21=10,"А",IF(Клеммы!F21=12,"Д"))))))))))))</f>
        <v>-</v>
      </c>
      <c r="B57" s="457"/>
      <c r="C57" s="458"/>
      <c r="D57" s="470" t="str">
        <f>IF('Опросный лист'!H23=0,"-",'Опросный лист'!H23)</f>
        <v>-</v>
      </c>
      <c r="E57" s="471"/>
      <c r="F57" s="51">
        <f t="shared" si="1"/>
        <v>0</v>
      </c>
      <c r="G57" s="540"/>
      <c r="H57" s="540"/>
      <c r="I57" s="21"/>
      <c r="J57" s="52" t="str">
        <f>IF(F21=1,L7,IF(F21=2,L8,IF(F21=3,L9,IF(F21=4,L10,IF(F21=5,L11,IF(F21=6,L12,IF(F21=7,L13,IF(F21=8,L14,IF(F21=9,L15,IF(F21=10,L16,IF(F21=11,L17,IF(F21=12,"-"))))))))))))</f>
        <v>-</v>
      </c>
      <c r="K57" s="53" t="str">
        <f>IF(F21=1,C7,IF(F21=2,C8,IF(F21=3,C9,IF(F21=4,C10,IF(F21=5,C11,IF(F21=6,C12,IF(F21=7,C13,IF(F21=8,C14,IF(F21=9,C15,IF(F21=10,C16,IF(F21=11,"-",IF(F21=12,"-"))))))))))))</f>
        <v>-</v>
      </c>
      <c r="L57" s="53" t="str">
        <f>IF(F21=1,D7,IF(F21=2,D8,IF(F21=3,D9,IF(F21=4,D10,IF(F21=5,D11,IF(F21=6,D12,IF(F21=7,D13,IF(F21=8,D14,IF(F21=9,D15,IF(F21=10,D16,IF(F21=11,"-",IF(F21=12,"-"))))))))))))</f>
        <v>-</v>
      </c>
      <c r="M57" s="54" t="str">
        <f>IF(F21=1,E7,IF(F21=2,E8,IF(F21=3,E9,IF(F21=4,E10,IF(F21=5,E11,IF(F21=6,E12,IF(F21=7,E13,IF(F21=8,E14,IF(F21=9,E15,IF(F21=10,E16,IF(F21=11,"-",IF(F21=12,"-"))))))))))))</f>
        <v>-</v>
      </c>
      <c r="N57" s="21"/>
      <c r="O57" s="21"/>
      <c r="P57" s="21"/>
      <c r="Q57" s="21"/>
      <c r="R57" s="21"/>
      <c r="S57" s="21"/>
      <c r="T57" s="21"/>
      <c r="U57" s="21"/>
    </row>
    <row r="58" spans="1:21" ht="15.75" x14ac:dyDescent="0.25">
      <c r="A58" s="456" t="str">
        <f>IF(Клеммы!G21=1,1,IF(Клеммы!G21=2,2,IF(Клеммы!G21=3,3,IF(Клеммы!G21=4,4,IF(Клеммы!G21=5,5,IF(Клеммы!G21=6,6,IF(Клеммы!G21=7,7,IF(Клеммы!G21=8,8,IF(Клеммы!G21=9,9,IF(Клеммы!G21=11,"-",IF(Клеммы!G21=10,"А",IF(Клеммы!G21=12,"Д"))))))))))))</f>
        <v>-</v>
      </c>
      <c r="B58" s="457"/>
      <c r="C58" s="458"/>
      <c r="D58" s="470" t="str">
        <f>IF('Опросный лист'!H24=0,"-",'Опросный лист'!H24)</f>
        <v>-</v>
      </c>
      <c r="E58" s="471"/>
      <c r="F58" s="51">
        <f t="shared" si="1"/>
        <v>0</v>
      </c>
      <c r="G58" s="540"/>
      <c r="H58" s="540"/>
      <c r="I58" s="21"/>
      <c r="J58" s="52" t="str">
        <f>IF(G21=1,L7,IF(G21=2,L8,IF(G21=3,L9,IF(G21=4,L10,IF(G21=5,L11,IF(G21=6,L12,IF(G21=7,L13,IF(G21=8,L14,IF(G21=9,L15,IF(G21=10,L16,IF(G21=11,L17,IF(G21=12,"-"))))))))))))</f>
        <v>-</v>
      </c>
      <c r="K58" s="53" t="str">
        <f>IF(G21=1,C7,IF(G21=2,C8,IF(G21=3,C9,IF(G21=4,C10,IF(G21=5,C11,IF(G21=6,C12,IF(G21=7,C13,IF(G21=8,C14,IF(G21=9,C15,IF(G21=10,C16,IF(G21=11,"-",IF(G21=12,"-"))))))))))))</f>
        <v>-</v>
      </c>
      <c r="L58" s="53" t="str">
        <f>IF(G21=1,D7,IF(G21=2,D8,IF(G21=3,D9,IF(G21=4,D10,IF(G21=5,D11,IF(G21=6,D12,IF(G21=7,D13,IF(G21=8,D14,IF(G21=9,D15,IF(G21=10,D16,IF(G21=11,"-",IF(G21=12,"-"))))))))))))</f>
        <v>-</v>
      </c>
      <c r="M58" s="54" t="str">
        <f>IF(G21=1,E7,IF(G21=2,E8,IF(G21=3,E9,IF(G21=4,E10,IF(G21=5,E11,IF(G21=6,E12,IF(G21=7,E13,IF(G21=8,E14,IF(G21=9,E15,IF(G21=10,E16,IF(G21=11,"-",IF(G21=12,"-"))))))))))))</f>
        <v>-</v>
      </c>
      <c r="N58" s="21"/>
      <c r="O58" s="21"/>
      <c r="P58" s="21"/>
      <c r="Q58" s="21"/>
      <c r="R58" s="21"/>
      <c r="S58" s="21"/>
      <c r="T58" s="21"/>
      <c r="U58" s="21"/>
    </row>
    <row r="59" spans="1:21" ht="15.75" x14ac:dyDescent="0.25">
      <c r="A59" s="456" t="str">
        <f>IF(Клеммы!H21=1,1,IF(Клеммы!H21=2,2,IF(Клеммы!H21=3,3,IF(Клеммы!H21=4,4,IF(Клеммы!H21=5,5,IF(Клеммы!H21=6,6,IF(Клеммы!H21=7,7,IF(Клеммы!H21=8,8,IF(Клеммы!H21=9,9,IF(Клеммы!H21=11,"-",IF(Клеммы!H21=10,"А",IF(Клеммы!H21=12,"Д"))))))))))))</f>
        <v>-</v>
      </c>
      <c r="B59" s="457"/>
      <c r="C59" s="458"/>
      <c r="D59" s="470" t="str">
        <f>IF('Опросный лист'!H25=0,"-",'Опросный лист'!H25)</f>
        <v>-</v>
      </c>
      <c r="E59" s="471"/>
      <c r="F59" s="51">
        <f t="shared" si="1"/>
        <v>0</v>
      </c>
      <c r="G59" s="540"/>
      <c r="H59" s="540"/>
      <c r="I59" s="21"/>
      <c r="J59" s="52" t="str">
        <f>IF(H21=1,L7,IF(H21=2,L8,IF(H21=3,L9,IF(H21=4,L10,IF(H21=5,L11,IF(H21=6,L12,IF(H21=7,L13,IF(H21=8,L14,IF(H21=9,L15,IF(H21=10,L16,IF(H21=11,L17,IF(H21=12,"-"))))))))))))</f>
        <v>-</v>
      </c>
      <c r="K59" s="53" t="str">
        <f>IF(H21=1,C7,IF(H21=2,C8,IF(H21=3,C9,IF(H21=4,C10,IF(H21=5,C11,IF(H21=6,C12,IF(H21=7,C13,IF(H21=8,C14,IF(H21=9,C15,IF(H21=10,C16,IF(H21=11,"-",IF(H21=12,"-"))))))))))))</f>
        <v>-</v>
      </c>
      <c r="L59" s="53" t="str">
        <f>IF(H21=1,D7,IF(H21=2,D8,IF(H21=3,D9,IF(H21=4,D10,IF(H21=5,D11,IF(H21=6,D12,IF(H21=7,D13,IF(H21=8,D14,IF(H21=9,D15,IF(H21=10,D16,IF(H21=11,"-",IF(H21=12,"-"))))))))))))</f>
        <v>-</v>
      </c>
      <c r="M59" s="54" t="str">
        <f>IF(H21=1,E7,IF(H21=2,E8,IF(H21=3,E9,IF(H21=4,E10,IF(H21=5,E11,IF(H21=6,E12,IF(H21=7,E13,IF(H21=8,E14,IF(H21=9,E15,IF(H21=10,E16,IF(H21=11,"-",IF(H21=12,"-"))))))))))))</f>
        <v>-</v>
      </c>
      <c r="N59" s="21"/>
      <c r="O59" s="21"/>
      <c r="P59" s="21"/>
      <c r="Q59" s="21"/>
      <c r="R59" s="21"/>
      <c r="S59" s="21"/>
      <c r="T59" s="21"/>
      <c r="U59" s="21"/>
    </row>
    <row r="60" spans="1:21" ht="15.75" x14ac:dyDescent="0.25">
      <c r="A60" s="456" t="str">
        <f>IF(Клеммы!I21=1,1,IF(Клеммы!I21=2,2,IF(Клеммы!I21=3,3,IF(Клеммы!I21=4,4,IF(Клеммы!I21=5,5,IF(Клеммы!I21=6,6,IF(Клеммы!I21=7,7,IF(Клеммы!I21=8,8,IF(Клеммы!I21=9,9,IF(Клеммы!I21=11,"-",IF(Клеммы!I21=10,"А",IF(Клеммы!I21=12,"Д"))))))))))))</f>
        <v>-</v>
      </c>
      <c r="B60" s="457"/>
      <c r="C60" s="458"/>
      <c r="D60" s="470" t="str">
        <f>IF('Опросный лист'!H26=0,"-",'Опросный лист'!H26)</f>
        <v>-</v>
      </c>
      <c r="E60" s="471"/>
      <c r="F60" s="51">
        <f t="shared" si="1"/>
        <v>0</v>
      </c>
      <c r="G60" s="540"/>
      <c r="H60" s="540"/>
      <c r="I60" s="21"/>
      <c r="J60" s="52" t="str">
        <f>IF(I21=1,L7,IF(I21=2,L8,IF(I21=3,L9,IF(I21=4,L10,IF(I21=5,L11,IF(I21=6,L12,IF(I21=7,L13,IF(I21=8,L14,IF(I21=9,L15,IF(I21=10,L16,IF(I21=11,L17,IF(I21=12,"-"))))))))))))</f>
        <v>-</v>
      </c>
      <c r="K60" s="53" t="str">
        <f>IF(I21=1,C7,IF(I21=2,C8,IF(I21=3,C9,IF(I21=4,C10,IF(I21=5,C11,IF(I21=6,C12,IF(I21=7,C13,IF(I21=8,C14,IF(I21=9,C15,IF(I21=10,C16,IF(I21=11,"-",IF(I21=12,"-"))))))))))))</f>
        <v>-</v>
      </c>
      <c r="L60" s="53" t="str">
        <f>IF(I21=1,D7,IF(I21=2,D8,IF(I21=3,D9,IF(I21=4,D10,IF(I21=5,D11,IF(I21=6,D12,IF(I21=7,D13,IF(I21=8,D14,IF(I21=9,D15,IF(I21=10,D16,IF(I21=11,"-",IF(I21=12,"-"))))))))))))</f>
        <v>-</v>
      </c>
      <c r="M60" s="54" t="str">
        <f>IF(I21=1,E7,IF(I21=2,E8,IF(I21=3,E9,IF(I21=4,E10,IF(I21=5,E11,IF(I21=6,E12,IF(I21=7,E13,IF(I21=8,E14,IF(I21=9,E15,IF(I21=10,E16,IF(I21=11,"-",IF(I21=12,"-"))))))))))))</f>
        <v>-</v>
      </c>
      <c r="N60" s="21"/>
      <c r="O60" s="21"/>
      <c r="P60" s="21"/>
      <c r="Q60" s="21"/>
      <c r="R60" s="21"/>
      <c r="S60" s="21"/>
      <c r="T60" s="21"/>
      <c r="U60" s="21"/>
    </row>
    <row r="61" spans="1:21" ht="15.75" x14ac:dyDescent="0.25">
      <c r="A61" s="456" t="str">
        <f>IF(Клеммы!J21=1,1,IF(Клеммы!J21=2,2,IF(Клеммы!J21=3,3,IF(Клеммы!J21=4,4,IF(Клеммы!J21=5,5,IF(Клеммы!J21=6,6,IF(Клеммы!J21=7,7,IF(Клеммы!J21=8,8,IF(Клеммы!J21=9,9,IF(Клеммы!J21=11,"-",IF(Клеммы!J21=10,"А",IF(Клеммы!J21=12,"Д"))))))))))))</f>
        <v>-</v>
      </c>
      <c r="B61" s="457"/>
      <c r="C61" s="458"/>
      <c r="D61" s="470" t="str">
        <f>IF('Опросный лист'!H27=0,"-",'Опросный лист'!H27)</f>
        <v>-</v>
      </c>
      <c r="E61" s="471"/>
      <c r="F61" s="51">
        <f t="shared" si="1"/>
        <v>0</v>
      </c>
      <c r="G61" s="540"/>
      <c r="H61" s="540"/>
      <c r="I61" s="21"/>
      <c r="J61" s="52" t="str">
        <f>IF(J21=1,L7,IF(J21=2,L8,IF(J21=3,L9,IF(J21=4,L10,IF(J21=5,L11,IF(J21=6,L12,IF(J21=7,L13,IF(J21=8,L14,IF(J21=9,L15,IF(J21=10,L16,IF(J21=11,L17,IF(J21=12,"-"))))))))))))</f>
        <v>-</v>
      </c>
      <c r="K61" s="53" t="str">
        <f>IF(J21=1,C7,IF(J21=2,C8,IF(J21=3,C9,IF(J21=4,C10,IF(J21=5,C11,IF(J21=6,C12,IF(J21=7,C13,IF(J21=8,C14,IF(J21=9,C15,IF(J21=10,C16,IF(J21=11,"-",IF(J21=12,"-"))))))))))))</f>
        <v>-</v>
      </c>
      <c r="L61" s="53" t="str">
        <f>IF(J21=1,D7,IF(J21=2,D8,IF(J21=3,D9,IF(J21=4,D10,IF(J21=5,D11,IF(J21=6,D12,IF(J21=7,D13,IF(J21=8,D14,IF(J21=9,D15,IF(J21=10,D16,IF(J21=11,"-",IF(J21=12,"-"))))))))))))</f>
        <v>-</v>
      </c>
      <c r="M61" s="54" t="str">
        <f>IF(J21=1,E7,IF(J21=2,E8,IF(J21=3,E9,IF(J21=4,E10,IF(J21=5,E11,IF(J21=6,E12,IF(J21=7,E13,IF(J21=8,E14,IF(J21=9,E15,IF(J21=10,E16,IF(J21=11,"-",IF(J21=12,"-"))))))))))))</f>
        <v>-</v>
      </c>
      <c r="N61" s="21"/>
      <c r="O61" s="21"/>
      <c r="P61" s="21"/>
      <c r="Q61" s="21"/>
      <c r="R61" s="21"/>
      <c r="S61" s="21"/>
      <c r="T61" s="21"/>
      <c r="U61" s="21"/>
    </row>
    <row r="62" spans="1:21" ht="16.5" thickBot="1" x14ac:dyDescent="0.3">
      <c r="A62" s="461" t="str">
        <f>IF(Клеммы!K21=1,1,IF(Клеммы!K21=2,2,IF(Клеммы!K21=3,3,IF(Клеммы!K21=4,4,IF(Клеммы!K21=5,5,IF(Клеммы!K21=6,6,IF(Клеммы!K21=7,7,IF(Клеммы!K21=8,8,IF(Клеммы!K21=9,9,IF(Клеммы!K21=11,"-",IF(Клеммы!K21=10,"А",IF(Клеммы!K21=12,"Д"))))))))))))</f>
        <v>-</v>
      </c>
      <c r="B62" s="462"/>
      <c r="C62" s="463"/>
      <c r="D62" s="459" t="str">
        <f>IF('Опросный лист'!H28=0,"-",'Опросный лист'!H28)</f>
        <v>-</v>
      </c>
      <c r="E62" s="460"/>
      <c r="F62" s="55">
        <f t="shared" si="1"/>
        <v>0</v>
      </c>
      <c r="G62" s="541"/>
      <c r="H62" s="541"/>
      <c r="I62" s="21"/>
      <c r="J62" s="56" t="str">
        <f>IF(K21=1,L7,IF(K21=2,L8,IF(K21=3,L9,IF(K21=4,L10,IF(K21=5,L11,IF(K21=6,L12,IF(K21=7,L13,IF(K21=8,L14,IF(K21=9,L15,IF(K21=10,L16,IF(K21=11,L17,IF(K21=12,"-"))))))))))))</f>
        <v>-</v>
      </c>
      <c r="K62" s="57" t="str">
        <f>IF(K21=1,C7,IF(K21=2,C8,IF(K21=3,C9,IF(K21=4,C10,IF(K21=5,C11,IF(K21=6,C12,IF(K21=7,C13,IF(K21=8,C14,IF(K21=9,C15,IF(K21=10,C16,IF(K21=11,"-",IF(K21=12,"-"))))))))))))</f>
        <v>-</v>
      </c>
      <c r="L62" s="57" t="str">
        <f>IF(K21=1,D7,IF(K21=2,D8,IF(K21=3,D9,IF(K21=4,D10,IF(K21=5,D11,IF(K21=6,D12,IF(K21=7,D13,IF(K21=8,D14,IF(K21=9,D15,IF(K21=10,D16,IF(K21=11,"-",IF(K21=12,"-"))))))))))))</f>
        <v>-</v>
      </c>
      <c r="M62" s="58" t="str">
        <f>IF(K21=1,E7,IF(K21=2,E8,IF(K21=3,E9,IF(K21=4,E10,IF(K21=5,E11,IF(K21=6,E12,IF(K21=7,E13,IF(K21=8,E14,IF(K21=9,E15,IF(K21=10,E16,IF(K21=11,"-",IF(K21=12,"-"))))))))))))</f>
        <v>-</v>
      </c>
      <c r="N62" s="21"/>
      <c r="O62" s="21"/>
      <c r="P62" s="21"/>
      <c r="Q62" s="21"/>
      <c r="R62" s="21"/>
      <c r="S62" s="21"/>
      <c r="T62" s="21"/>
      <c r="U62" s="21"/>
    </row>
    <row r="63" spans="1:21" ht="15.75" x14ac:dyDescent="0.25">
      <c r="A63" s="105"/>
      <c r="B63" s="105"/>
      <c r="C63" s="105"/>
      <c r="D63" s="106"/>
      <c r="E63" s="106"/>
      <c r="F63" s="106"/>
      <c r="G63" s="95"/>
      <c r="H63" s="9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5.75" thickBot="1" x14ac:dyDescent="0.3">
      <c r="A64" s="21"/>
      <c r="B64" s="21"/>
      <c r="C64" s="21"/>
      <c r="D64" s="21"/>
      <c r="E64" s="21"/>
      <c r="F64" s="21"/>
      <c r="G64" s="21"/>
      <c r="H64" s="107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5.75" thickBot="1" x14ac:dyDescent="0.3">
      <c r="A65" s="464" t="s">
        <v>85</v>
      </c>
      <c r="B65" s="465"/>
      <c r="C65" s="465"/>
      <c r="D65" s="466"/>
      <c r="E65" s="453" t="s">
        <v>87</v>
      </c>
      <c r="F65" s="454"/>
      <c r="G65" s="455"/>
      <c r="H65" s="453" t="s">
        <v>88</v>
      </c>
      <c r="I65" s="454"/>
      <c r="J65" s="455"/>
      <c r="K65" s="453" t="s">
        <v>164</v>
      </c>
      <c r="L65" s="454"/>
      <c r="M65" s="455"/>
      <c r="N65" s="21"/>
      <c r="O65" s="21"/>
      <c r="P65" s="21"/>
      <c r="Q65" s="21"/>
      <c r="R65" s="21"/>
      <c r="S65" s="21"/>
      <c r="T65" s="21"/>
      <c r="U65" s="21"/>
    </row>
    <row r="66" spans="1:21" ht="15.75" thickBot="1" x14ac:dyDescent="0.3">
      <c r="A66" s="467" t="str">
        <f>IF(AND(G53&lt;4,H53=2),"Двухрядное расположение клемм доступно только для ККВ-4 и ККВ-5","Норма")</f>
        <v>Норма</v>
      </c>
      <c r="B66" s="468"/>
      <c r="C66" s="468"/>
      <c r="D66" s="469"/>
      <c r="E66" s="472" t="s">
        <v>194</v>
      </c>
      <c r="F66" s="473"/>
      <c r="G66" s="474"/>
      <c r="H66" s="472" t="s">
        <v>195</v>
      </c>
      <c r="I66" s="473"/>
      <c r="J66" s="474"/>
      <c r="K66" s="472" t="s">
        <v>196</v>
      </c>
      <c r="L66" s="473"/>
      <c r="M66" s="474"/>
      <c r="N66" s="21"/>
      <c r="O66" s="21"/>
      <c r="P66" s="21"/>
      <c r="Q66" s="21"/>
      <c r="R66" s="21"/>
      <c r="S66" s="21"/>
      <c r="T66" s="21"/>
      <c r="U66" s="21"/>
    </row>
    <row r="67" spans="1:21" ht="15.75" thickBot="1" x14ac:dyDescent="0.3">
      <c r="A67" s="453" t="s">
        <v>86</v>
      </c>
      <c r="B67" s="454"/>
      <c r="C67" s="454"/>
      <c r="D67" s="455"/>
      <c r="E67" s="21"/>
      <c r="F67" s="21"/>
      <c r="G67" s="21"/>
      <c r="H67" s="68"/>
      <c r="I67" s="68"/>
      <c r="J67" s="68"/>
      <c r="K67" s="68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5.75" thickBot="1" x14ac:dyDescent="0.3">
      <c r="A68" s="427">
        <f>IF(AND(H53=1,A66="Норма"),1,IF(AND(H53=2,A66="Норма"),2,A66))</f>
        <v>1</v>
      </c>
      <c r="B68" s="428"/>
      <c r="C68" s="428"/>
      <c r="D68" s="429"/>
      <c r="E68" s="21"/>
      <c r="F68" s="21"/>
      <c r="G68" s="21"/>
      <c r="H68" s="68"/>
      <c r="I68" s="68"/>
      <c r="J68" s="68"/>
      <c r="K68" s="68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5.75" thickBot="1" x14ac:dyDescent="0.3">
      <c r="A69" s="453" t="s">
        <v>89</v>
      </c>
      <c r="B69" s="454"/>
      <c r="C69" s="454"/>
      <c r="D69" s="455"/>
      <c r="E69" s="68"/>
      <c r="F69" s="68"/>
      <c r="G69" s="68"/>
      <c r="H69" s="68"/>
      <c r="I69" s="68"/>
      <c r="J69" s="68"/>
      <c r="K69" s="68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5.75" thickBot="1" x14ac:dyDescent="0.3">
      <c r="A70" s="427" t="str">
        <f>IF(AND(NOT(A53="-"),D53="-"),H66,IF(AND(NOT(A54="-"),D54="-"),H66,IF(AND(NOT(A55="-"),D55="-"),H66,IF(AND(NOT(A56="-"),D56="-"),H66,IF(AND(NOT(A57="-"),D57="-"),H66,IF(AND(NOT(A58="-"),D58="-"),H66,IF(AND(NOT(A59="-"),D59="-"),H66,IF(AND(NOT(A60="-"),D60="-"),H66,IF(AND(NOT(A61="-"),D61="-"),H66,IF(AND(NOT(A62="-"),D62="-"),H66,"Норма"))))))))))</f>
        <v>Норма</v>
      </c>
      <c r="B70" s="428"/>
      <c r="C70" s="428"/>
      <c r="D70" s="429"/>
      <c r="E70" s="108"/>
      <c r="F70" s="68"/>
      <c r="G70" s="68"/>
      <c r="H70" s="68"/>
      <c r="I70" s="68"/>
      <c r="J70" s="68"/>
      <c r="K70" s="68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5.75" thickBot="1" x14ac:dyDescent="0.3">
      <c r="A71" s="453" t="s">
        <v>91</v>
      </c>
      <c r="B71" s="454"/>
      <c r="C71" s="454"/>
      <c r="D71" s="455"/>
      <c r="E71" s="68"/>
      <c r="F71" s="68"/>
      <c r="G71" s="68"/>
      <c r="H71" s="21"/>
      <c r="I71" s="21"/>
      <c r="J71" s="21"/>
      <c r="K71" s="68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5.75" thickBot="1" x14ac:dyDescent="0.3">
      <c r="A72" s="484">
        <f>ROUND(SUM(F53*O7,F54*O8,F55*O9,F56*O10,F57*O11,F58*O12,F59*O13,F60*O14,F61*O15,F62*O16),0)</f>
        <v>0</v>
      </c>
      <c r="B72" s="484"/>
      <c r="C72" s="484"/>
      <c r="D72" s="484"/>
      <c r="E72" s="68"/>
      <c r="F72" s="68"/>
      <c r="G72" s="68"/>
      <c r="H72" s="68"/>
      <c r="I72" s="68"/>
      <c r="J72" s="68"/>
      <c r="K72" s="68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5.75" thickBot="1" x14ac:dyDescent="0.3">
      <c r="A73" s="453" t="s">
        <v>90</v>
      </c>
      <c r="B73" s="454"/>
      <c r="C73" s="454"/>
      <c r="D73" s="455"/>
      <c r="E73" s="68"/>
      <c r="F73" s="68"/>
      <c r="G73" s="68"/>
      <c r="H73" s="68"/>
      <c r="I73" s="68"/>
      <c r="J73" s="68"/>
      <c r="K73" s="68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5.75" thickBot="1" x14ac:dyDescent="0.3">
      <c r="A74" s="484" t="str">
        <f>IF(AND(G53=1,A72&gt;N26*A68),E66,IF(AND(G53=2,A72&gt;N27*A68),E66,IF(AND(G53=3,A72&gt;N28*A68),E66,IF(AND(G53=4,A72&gt;N29*A68),E66,IF(AND(G53=5,A72&gt;N30*A68),E66,"Норма")))))</f>
        <v>Норма</v>
      </c>
      <c r="B74" s="484"/>
      <c r="C74" s="484"/>
      <c r="D74" s="484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21"/>
      <c r="P74" s="21"/>
      <c r="Q74" s="21"/>
      <c r="R74" s="21"/>
      <c r="S74" s="21"/>
      <c r="T74" s="21"/>
      <c r="U74" s="21"/>
    </row>
    <row r="75" spans="1:21" ht="15.75" thickBot="1" x14ac:dyDescent="0.3">
      <c r="A75" s="453" t="s">
        <v>92</v>
      </c>
      <c r="B75" s="454"/>
      <c r="C75" s="454"/>
      <c r="D75" s="455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21"/>
      <c r="P75" s="21"/>
      <c r="Q75" s="21"/>
      <c r="R75" s="21"/>
      <c r="S75" s="21"/>
      <c r="T75" s="21"/>
      <c r="U75" s="21"/>
    </row>
    <row r="76" spans="1:21" x14ac:dyDescent="0.25">
      <c r="A76" s="395" t="str">
        <f>IF(AND(NOT(A53="-"),F53=0),H66,IF(AND(NOT(A54="-"),F54=0),H66,IF(AND(NOT(A55="-"),F55=0),H66,IF(AND(NOT(A56="-"),F56=0),H66,IF(AND(NOT(A57="-"),F57=0),H66,IF(AND(NOT(A58="-"),F58=0),H66,IF(AND(NOT(A59="-"),F59=0),H66,IF(AND(NOT(A60="-"),F60=0),H66,IF(AND(NOT(A61="-"),F61=0),H66,IF(AND(NOT(A62="-"),F62=0),H66,IF(AND(G53=1,A72&gt;N26),E66,IF(AND(G53=2,A72&gt;N27),E66,IF(AND(G53=3,A72&gt;N28),E66,IF(AND(G53=4,A72&gt;N29),E66,IF(AND(G53=5,A72&gt;N30),E66,"Норма")))))))))))))))</f>
        <v>Норма</v>
      </c>
      <c r="B76" s="396"/>
      <c r="C76" s="396"/>
      <c r="D76" s="397"/>
      <c r="E76" s="68"/>
      <c r="F76" s="158" t="str">
        <f>IF(A76=H66,"???","НОРМА")</f>
        <v>НОРМА</v>
      </c>
      <c r="G76" s="68"/>
      <c r="H76" s="68"/>
      <c r="I76" s="68"/>
      <c r="J76" s="68"/>
      <c r="K76" s="68"/>
      <c r="L76" s="68"/>
      <c r="M76" s="68"/>
      <c r="N76" s="68"/>
      <c r="O76" s="21"/>
      <c r="P76" s="21"/>
      <c r="Q76" s="21"/>
      <c r="R76" s="21"/>
      <c r="S76" s="21"/>
      <c r="T76" s="21"/>
      <c r="U76" s="21"/>
    </row>
    <row r="77" spans="1:21" x14ac:dyDescent="0.25">
      <c r="A77" s="398"/>
      <c r="B77" s="399"/>
      <c r="C77" s="399"/>
      <c r="D77" s="400"/>
      <c r="E77" s="21"/>
      <c r="F77" s="158" t="str">
        <f>IF(A76=E66,"Х","НОРМА")</f>
        <v>НОРМА</v>
      </c>
      <c r="G77" s="68"/>
      <c r="H77" s="68"/>
      <c r="I77" s="68"/>
      <c r="J77" s="68"/>
      <c r="K77" s="68"/>
      <c r="L77" s="68"/>
      <c r="M77" s="68"/>
      <c r="N77" s="68"/>
      <c r="O77" s="21"/>
      <c r="P77" s="21"/>
      <c r="Q77" s="21"/>
      <c r="R77" s="21"/>
      <c r="S77" s="21"/>
      <c r="T77" s="21"/>
      <c r="U77" s="21"/>
    </row>
    <row r="78" spans="1:21" ht="15.75" thickBot="1" x14ac:dyDescent="0.3">
      <c r="A78" s="401"/>
      <c r="B78" s="402"/>
      <c r="C78" s="402"/>
      <c r="D78" s="403"/>
      <c r="E78" s="21"/>
      <c r="F78" s="158" t="str">
        <f>IF(OR(AND(B21=12,A85=0),AND(C21=12,A86=0),AND(D21=12,A87=0),AND(E21=12,A88=0),AND(F21=12,A89=0),AND(G21=12,A90=0),AND(H21=12,A91=0),AND(I21=12,A92=0),AND(J21=12,A93=0),AND(K21=12,A94=0)),"???","НОРМА")</f>
        <v>НОРМА</v>
      </c>
      <c r="G78" s="68"/>
      <c r="H78" s="68"/>
      <c r="I78" s="68"/>
      <c r="J78" s="68"/>
      <c r="K78" s="68"/>
      <c r="L78" s="68"/>
      <c r="M78" s="68"/>
      <c r="N78" s="68"/>
      <c r="O78" s="21"/>
      <c r="P78" s="21"/>
      <c r="Q78" s="21"/>
      <c r="R78" s="21"/>
      <c r="S78" s="21"/>
      <c r="T78" s="21"/>
      <c r="U78" s="21"/>
    </row>
    <row r="79" spans="1:21" x14ac:dyDescent="0.25">
      <c r="A79" s="21"/>
      <c r="B79" s="21"/>
      <c r="C79" s="21"/>
      <c r="D79" s="21"/>
      <c r="E79" s="21"/>
      <c r="F79" s="21"/>
      <c r="G79" s="21"/>
      <c r="H79" s="68"/>
      <c r="I79" s="68"/>
      <c r="J79" s="68"/>
      <c r="K79" s="68"/>
      <c r="L79" s="68"/>
      <c r="M79" s="68"/>
      <c r="N79" s="68"/>
      <c r="O79" s="21"/>
      <c r="P79" s="21"/>
      <c r="Q79" s="21"/>
      <c r="R79" s="21"/>
      <c r="S79" s="21"/>
      <c r="T79" s="21"/>
      <c r="U79" s="21"/>
    </row>
    <row r="80" spans="1:21" x14ac:dyDescent="0.25">
      <c r="A80" s="21"/>
      <c r="B80" s="21"/>
      <c r="C80" s="21"/>
      <c r="D80" s="21"/>
      <c r="E80" s="21"/>
      <c r="F80" s="21"/>
      <c r="G80" s="21"/>
      <c r="H80" s="21"/>
      <c r="I80" s="68"/>
      <c r="J80" s="68"/>
      <c r="K80" s="68"/>
      <c r="L80" s="68"/>
      <c r="M80" s="68"/>
      <c r="N80" s="68"/>
      <c r="O80" s="21"/>
      <c r="P80" s="21"/>
      <c r="Q80" s="21"/>
      <c r="R80" s="21"/>
      <c r="S80" s="21"/>
      <c r="T80" s="21"/>
      <c r="U80" s="21"/>
    </row>
    <row r="81" spans="1:21" ht="15.75" thickBot="1" x14ac:dyDescent="0.3">
      <c r="A81" s="68"/>
      <c r="B81" s="21"/>
      <c r="C81" s="21"/>
      <c r="D81" s="21"/>
      <c r="E81" s="21"/>
      <c r="F81" s="21"/>
      <c r="G81" s="21"/>
      <c r="H81" s="21"/>
      <c r="I81" s="68"/>
      <c r="J81" s="68"/>
      <c r="K81" s="68"/>
      <c r="L81" s="68"/>
      <c r="M81" s="68"/>
      <c r="N81" s="68"/>
      <c r="O81" s="21"/>
      <c r="P81" s="21"/>
      <c r="Q81" s="21"/>
      <c r="R81" s="21"/>
      <c r="S81" s="21"/>
      <c r="T81" s="21"/>
      <c r="U81" s="21"/>
    </row>
    <row r="82" spans="1:21" x14ac:dyDescent="0.25">
      <c r="A82" s="21"/>
      <c r="B82" s="21"/>
      <c r="C82" s="21"/>
      <c r="D82" s="21"/>
      <c r="E82" s="475" t="s">
        <v>171</v>
      </c>
      <c r="F82" s="476"/>
      <c r="G82" s="476"/>
      <c r="H82" s="476"/>
      <c r="I82" s="476"/>
      <c r="J82" s="476"/>
      <c r="K82" s="476"/>
      <c r="L82" s="476"/>
      <c r="M82" s="476"/>
      <c r="N82" s="477"/>
      <c r="O82" s="21"/>
      <c r="P82" s="21"/>
      <c r="Q82" s="21"/>
      <c r="R82" s="21"/>
      <c r="S82" s="21"/>
      <c r="T82" s="21"/>
      <c r="U82" s="21"/>
    </row>
    <row r="83" spans="1:21" x14ac:dyDescent="0.25">
      <c r="A83" s="68"/>
      <c r="B83" s="68"/>
      <c r="C83" s="68"/>
      <c r="D83" s="68"/>
      <c r="E83" s="478"/>
      <c r="F83" s="479"/>
      <c r="G83" s="479"/>
      <c r="H83" s="479"/>
      <c r="I83" s="479"/>
      <c r="J83" s="479"/>
      <c r="K83" s="479"/>
      <c r="L83" s="479"/>
      <c r="M83" s="479"/>
      <c r="N83" s="480"/>
      <c r="O83" s="21"/>
      <c r="P83" s="21"/>
      <c r="Q83" s="21"/>
      <c r="R83" s="21"/>
      <c r="S83" s="21"/>
      <c r="T83" s="21"/>
      <c r="U83" s="21"/>
    </row>
    <row r="84" spans="1:21" ht="15.75" thickBot="1" x14ac:dyDescent="0.3">
      <c r="A84" s="68"/>
      <c r="B84" s="68"/>
      <c r="C84" s="68"/>
      <c r="D84" s="68"/>
      <c r="E84" s="481"/>
      <c r="F84" s="482"/>
      <c r="G84" s="482"/>
      <c r="H84" s="482"/>
      <c r="I84" s="482"/>
      <c r="J84" s="482"/>
      <c r="K84" s="482"/>
      <c r="L84" s="482"/>
      <c r="M84" s="482"/>
      <c r="N84" s="483"/>
      <c r="O84" s="21"/>
      <c r="P84" s="21"/>
      <c r="Q84" s="21"/>
      <c r="R84" s="21"/>
      <c r="S84" s="21"/>
      <c r="T84" s="21"/>
      <c r="U84" s="21"/>
    </row>
    <row r="85" spans="1:21" ht="15.75" x14ac:dyDescent="0.25">
      <c r="A85" s="59">
        <f>'Опросный лист'!B34</f>
        <v>0</v>
      </c>
      <c r="B85" s="68"/>
      <c r="C85" s="59" t="str">
        <f>IF(NOT(A85=0),A85,"")</f>
        <v/>
      </c>
      <c r="D85" s="68"/>
      <c r="E85" s="60" t="b">
        <v>0</v>
      </c>
      <c r="F85" s="451" t="str">
        <f>IF(E85=TRUE,H85,"")</f>
        <v/>
      </c>
      <c r="G85" s="452"/>
      <c r="H85" s="450" t="s">
        <v>173</v>
      </c>
      <c r="I85" s="450"/>
      <c r="J85" s="450"/>
      <c r="K85" s="450"/>
      <c r="L85" s="450"/>
      <c r="M85" s="450"/>
      <c r="N85" s="61"/>
      <c r="O85" s="114">
        <f>IF(E85=TRUE,1,0)</f>
        <v>0</v>
      </c>
      <c r="P85" s="21"/>
      <c r="Q85" s="21"/>
      <c r="R85" s="21"/>
      <c r="S85" s="21"/>
      <c r="T85" s="21"/>
      <c r="U85" s="21"/>
    </row>
    <row r="86" spans="1:21" ht="15.75" x14ac:dyDescent="0.25">
      <c r="A86" s="59">
        <f>'Опросный лист'!B35</f>
        <v>0</v>
      </c>
      <c r="B86" s="68"/>
      <c r="C86" s="59" t="str">
        <f t="shared" ref="C86:C94" si="2">IF(NOT(A86=0),A86,"")</f>
        <v/>
      </c>
      <c r="D86" s="68"/>
      <c r="E86" s="62" t="b">
        <v>0</v>
      </c>
      <c r="F86" s="451" t="str">
        <f>IF(E86=TRUE,H86,"")</f>
        <v/>
      </c>
      <c r="G86" s="452"/>
      <c r="H86" s="450" t="s">
        <v>174</v>
      </c>
      <c r="I86" s="450"/>
      <c r="J86" s="450"/>
      <c r="K86" s="450"/>
      <c r="L86" s="450"/>
      <c r="M86" s="450"/>
      <c r="N86" s="61"/>
      <c r="O86" s="114">
        <f>IF(E86=TRUE,1,0)</f>
        <v>0</v>
      </c>
      <c r="P86" s="21"/>
      <c r="Q86" s="21"/>
      <c r="R86" s="21"/>
      <c r="S86" s="21"/>
      <c r="T86" s="21"/>
      <c r="U86" s="21"/>
    </row>
    <row r="87" spans="1:21" ht="15.75" x14ac:dyDescent="0.25">
      <c r="A87" s="59">
        <f>'Опросный лист'!B36</f>
        <v>0</v>
      </c>
      <c r="B87" s="68"/>
      <c r="C87" s="59" t="str">
        <f t="shared" si="2"/>
        <v/>
      </c>
      <c r="D87" s="68"/>
      <c r="E87" s="62" t="b">
        <v>0</v>
      </c>
      <c r="F87" s="451" t="str">
        <f>IF(E87=TRUE,H87,"")</f>
        <v/>
      </c>
      <c r="G87" s="452"/>
      <c r="H87" s="450" t="s">
        <v>175</v>
      </c>
      <c r="I87" s="450"/>
      <c r="J87" s="450"/>
      <c r="K87" s="450"/>
      <c r="L87" s="450"/>
      <c r="M87" s="450"/>
      <c r="N87" s="61"/>
      <c r="O87" s="114">
        <f>IF(E87=TRUE,1,0)</f>
        <v>0</v>
      </c>
      <c r="P87" s="21"/>
      <c r="Q87" s="21"/>
      <c r="R87" s="21"/>
      <c r="S87" s="21"/>
      <c r="T87" s="21"/>
      <c r="U87" s="21"/>
    </row>
    <row r="88" spans="1:21" ht="16.5" thickBot="1" x14ac:dyDescent="0.3">
      <c r="A88" s="59">
        <f>'Опросный лист'!B37</f>
        <v>0</v>
      </c>
      <c r="B88" s="68"/>
      <c r="C88" s="59" t="str">
        <f t="shared" si="2"/>
        <v/>
      </c>
      <c r="D88" s="68"/>
      <c r="E88" s="63" t="b">
        <v>0</v>
      </c>
      <c r="F88" s="451" t="str">
        <f>IF(E88=TRUE,H88,"")</f>
        <v/>
      </c>
      <c r="G88" s="452"/>
      <c r="H88" s="450" t="s">
        <v>172</v>
      </c>
      <c r="I88" s="450"/>
      <c r="J88" s="450"/>
      <c r="K88" s="450"/>
      <c r="L88" s="450"/>
      <c r="M88" s="450"/>
      <c r="N88" s="61"/>
      <c r="O88" s="114">
        <f>IF(E88=TRUE,1,0)</f>
        <v>0</v>
      </c>
      <c r="P88" s="21"/>
      <c r="Q88" s="21"/>
      <c r="R88" s="21"/>
      <c r="S88" s="21"/>
      <c r="T88" s="21"/>
      <c r="U88" s="21"/>
    </row>
    <row r="89" spans="1:21" ht="15" customHeight="1" thickBot="1" x14ac:dyDescent="0.3">
      <c r="A89" s="59">
        <f>'Опросный лист'!B38</f>
        <v>0</v>
      </c>
      <c r="B89" s="68"/>
      <c r="C89" s="59" t="str">
        <f t="shared" si="2"/>
        <v/>
      </c>
      <c r="D89" s="68"/>
      <c r="E89" s="344" t="str">
        <f>IF(AND(E85=FALSE,E86=FALSE,E87=FALSE,E88=FALSE),"","[ Дополнительные монтажные элементы - ")</f>
        <v/>
      </c>
      <c r="F89" s="345"/>
      <c r="G89" s="345" t="str">
        <f>IF(NOT(F85=0),F85,"")</f>
        <v/>
      </c>
      <c r="H89" s="345"/>
      <c r="I89" s="345"/>
      <c r="J89" s="345"/>
      <c r="K89" s="345"/>
      <c r="L89" s="345"/>
      <c r="M89" s="345"/>
      <c r="N89" s="346"/>
      <c r="O89" s="449"/>
      <c r="P89" s="413"/>
      <c r="Q89" s="413"/>
      <c r="R89" s="21"/>
      <c r="S89" s="21"/>
      <c r="T89" s="21"/>
      <c r="U89" s="21"/>
    </row>
    <row r="90" spans="1:21" ht="15" customHeight="1" thickBot="1" x14ac:dyDescent="0.3">
      <c r="A90" s="59">
        <f>'Опросный лист'!B39</f>
        <v>0</v>
      </c>
      <c r="B90" s="21"/>
      <c r="C90" s="59" t="str">
        <f t="shared" si="2"/>
        <v/>
      </c>
      <c r="D90" s="21"/>
      <c r="E90" s="347" t="str">
        <f>IF(AND(E85=FALSE,E86=FALSE,E87=FALSE,E88=FALSE),""," ]")</f>
        <v/>
      </c>
      <c r="F90" s="348"/>
      <c r="G90" s="345" t="str">
        <f>IF(NOT(F86=0),F86,"")</f>
        <v/>
      </c>
      <c r="H90" s="345"/>
      <c r="I90" s="345"/>
      <c r="J90" s="345"/>
      <c r="K90" s="345"/>
      <c r="L90" s="345"/>
      <c r="M90" s="345"/>
      <c r="N90" s="346"/>
      <c r="O90" s="449"/>
      <c r="P90" s="413"/>
      <c r="Q90" s="413"/>
      <c r="R90" s="21"/>
      <c r="S90" s="21"/>
      <c r="T90" s="21"/>
      <c r="U90" s="21"/>
    </row>
    <row r="91" spans="1:21" ht="15" customHeight="1" thickBot="1" x14ac:dyDescent="0.3">
      <c r="A91" s="59">
        <f>'Опросный лист'!B40</f>
        <v>0</v>
      </c>
      <c r="B91" s="21"/>
      <c r="C91" s="59" t="str">
        <f t="shared" si="2"/>
        <v/>
      </c>
      <c r="D91" s="21"/>
      <c r="E91" s="64"/>
      <c r="F91" s="65"/>
      <c r="G91" s="345" t="str">
        <f>IF(NOT(F87=0),F87,"")</f>
        <v/>
      </c>
      <c r="H91" s="345"/>
      <c r="I91" s="345"/>
      <c r="J91" s="345"/>
      <c r="K91" s="345"/>
      <c r="L91" s="345"/>
      <c r="M91" s="345"/>
      <c r="N91" s="346"/>
      <c r="O91" s="449"/>
      <c r="P91" s="413"/>
      <c r="Q91" s="413"/>
      <c r="R91" s="21"/>
      <c r="S91" s="21"/>
      <c r="T91" s="21"/>
      <c r="U91" s="21"/>
    </row>
    <row r="92" spans="1:21" ht="15" customHeight="1" x14ac:dyDescent="0.25">
      <c r="A92" s="59">
        <f>'Опросный лист'!B41</f>
        <v>0</v>
      </c>
      <c r="B92" s="21"/>
      <c r="C92" s="59" t="str">
        <f t="shared" si="2"/>
        <v/>
      </c>
      <c r="D92" s="21"/>
      <c r="E92" s="109"/>
      <c r="F92" s="110"/>
      <c r="G92" s="345" t="str">
        <f>IF(NOT(F88=0),F88,"")</f>
        <v/>
      </c>
      <c r="H92" s="345"/>
      <c r="I92" s="345"/>
      <c r="J92" s="345"/>
      <c r="K92" s="345"/>
      <c r="L92" s="345"/>
      <c r="M92" s="345"/>
      <c r="N92" s="346"/>
      <c r="O92" s="449"/>
      <c r="P92" s="413"/>
      <c r="Q92" s="413"/>
      <c r="R92" s="21"/>
      <c r="S92" s="21"/>
      <c r="T92" s="21"/>
      <c r="U92" s="21"/>
    </row>
    <row r="93" spans="1:21" ht="15.75" thickBot="1" x14ac:dyDescent="0.3">
      <c r="A93" s="59">
        <f>'Опросный лист'!B42</f>
        <v>0</v>
      </c>
      <c r="B93" s="21"/>
      <c r="C93" s="59" t="str">
        <f t="shared" si="2"/>
        <v/>
      </c>
      <c r="D93" s="21"/>
      <c r="E93" s="111"/>
      <c r="F93" s="112"/>
      <c r="G93" s="112"/>
      <c r="H93" s="112"/>
      <c r="I93" s="112"/>
      <c r="J93" s="112"/>
      <c r="K93" s="112"/>
      <c r="L93" s="112"/>
      <c r="M93" s="112"/>
      <c r="N93" s="113"/>
      <c r="O93" s="21"/>
      <c r="P93" s="21"/>
      <c r="Q93" s="21"/>
      <c r="R93" s="21"/>
      <c r="S93" s="21"/>
      <c r="T93" s="21"/>
      <c r="U93" s="21"/>
    </row>
    <row r="94" spans="1:21" ht="15" customHeight="1" x14ac:dyDescent="0.25">
      <c r="A94" s="59">
        <f>'Опросный лист'!B43</f>
        <v>0</v>
      </c>
      <c r="B94" s="21"/>
      <c r="C94" s="59" t="str">
        <f t="shared" si="2"/>
        <v/>
      </c>
      <c r="D94" s="21"/>
      <c r="E94" s="348" t="str">
        <f>CONCATENATE(E89,G89,G90,G91,G92,E90)</f>
        <v/>
      </c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21"/>
      <c r="Q94" s="21"/>
      <c r="R94" s="21"/>
      <c r="S94" s="21"/>
      <c r="T94" s="21"/>
      <c r="U94" s="21"/>
    </row>
    <row r="95" spans="1:21" ht="15.75" thickBot="1" x14ac:dyDescent="0.3">
      <c r="A95" s="68"/>
      <c r="B95" s="21"/>
      <c r="C95" s="21"/>
      <c r="D95" s="21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21"/>
      <c r="Q95" s="21"/>
      <c r="R95" s="21"/>
      <c r="S95" s="21"/>
      <c r="T95" s="21"/>
      <c r="U95" s="21"/>
    </row>
    <row r="96" spans="1:21" ht="15.75" thickBot="1" x14ac:dyDescent="0.3">
      <c r="A96" s="68"/>
      <c r="B96" s="21"/>
      <c r="C96" s="66" t="str">
        <f>CONCATENATE(IF(AND(A85=0,A86=0,A87=0,A88=0,A89=0,A90=0,A91=0,A92=0,A93=0,A94=0),"","["),IF(AND(A85=0,A86=0,A87=0,A88=0,A89=0,A90=0,A91=0,A92=0,A93=0,A94=0),"","Особенности клемм - "),IF(NOT(A85=0),CONCATENATE(" ",A85," "),""),IF(NOT(A86=0),CONCATENATE(" ",A86," "),""),IF(NOT(A87=0),CONCATENATE(" ",A87," "),""),IF(NOT(A88=0),CONCATENATE(" ",A88," "),""),IF(NOT(A89=0),CONCATENATE(" ",A89," "),""),IF(NOT(A90=0),CONCATENATE(" ",A90," "),""),IF(NOT(A91=0),CONCATENATE(" ",A91," "),""),IF(NOT(A92=0),CONCATENATE(" ",A92," "),""),IF(NOT(A93=0),CONCATENATE(" ",A93," "),""),IF(NOT(A94=0),CONCATENATE(" ",A94," "),""),IF(AND(A85=0,A86=0,A87=0,A88=0,A89=0,A90=0,A91=0,A92=0,A93=0,A94=0),"","]"))</f>
        <v/>
      </c>
      <c r="D96" s="21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21"/>
      <c r="Q96" s="21"/>
      <c r="R96" s="21"/>
      <c r="S96" s="21"/>
      <c r="T96" s="21"/>
      <c r="U96" s="21"/>
    </row>
    <row r="97" spans="1:21" ht="15.75" thickBot="1" x14ac:dyDescent="0.3">
      <c r="A97" s="21"/>
      <c r="B97" s="21"/>
      <c r="C97" s="66" t="str">
        <f>IF(AND(NOT(B21=12),NOT(C21=12),NOT(D21=12),NOT(E21=12),NOT(F21=12),NOT(G21=12),NOT(H21=12),NOT(I21=12),NOT(J21=12),NOT(K21=12)),"",C96)</f>
        <v/>
      </c>
      <c r="D97" s="21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21"/>
      <c r="Q97" s="21"/>
      <c r="R97" s="21"/>
      <c r="S97" s="21"/>
      <c r="T97" s="21"/>
      <c r="U97" s="21"/>
    </row>
    <row r="98" spans="1:2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</sheetData>
  <mergeCells count="140">
    <mergeCell ref="L48:R48"/>
    <mergeCell ref="O2:P6"/>
    <mergeCell ref="O7:P7"/>
    <mergeCell ref="O8:P8"/>
    <mergeCell ref="O9:P9"/>
    <mergeCell ref="O10:P10"/>
    <mergeCell ref="O11:P11"/>
    <mergeCell ref="O12:P12"/>
    <mergeCell ref="O13:P13"/>
    <mergeCell ref="N27:Q27"/>
    <mergeCell ref="O14:P14"/>
    <mergeCell ref="L2:N6"/>
    <mergeCell ref="L7:N7"/>
    <mergeCell ref="L8:N8"/>
    <mergeCell ref="L9:N9"/>
    <mergeCell ref="L10:N10"/>
    <mergeCell ref="L11:N11"/>
    <mergeCell ref="L12:N12"/>
    <mergeCell ref="L13:N13"/>
    <mergeCell ref="L14:N14"/>
    <mergeCell ref="O15:P15"/>
    <mergeCell ref="O16:P16"/>
    <mergeCell ref="O17:P17"/>
    <mergeCell ref="M21:N21"/>
    <mergeCell ref="M22:N22"/>
    <mergeCell ref="H65:J65"/>
    <mergeCell ref="H66:J66"/>
    <mergeCell ref="A53:C53"/>
    <mergeCell ref="N29:Q29"/>
    <mergeCell ref="N30:Q30"/>
    <mergeCell ref="M25:Q25"/>
    <mergeCell ref="H53:H62"/>
    <mergeCell ref="A37:G37"/>
    <mergeCell ref="A43:G43"/>
    <mergeCell ref="A44:G44"/>
    <mergeCell ref="A42:G42"/>
    <mergeCell ref="A41:G41"/>
    <mergeCell ref="A40:G40"/>
    <mergeCell ref="A39:G39"/>
    <mergeCell ref="A38:G38"/>
    <mergeCell ref="A45:G45"/>
    <mergeCell ref="A47:G47"/>
    <mergeCell ref="G53:G62"/>
    <mergeCell ref="D53:E53"/>
    <mergeCell ref="D61:E61"/>
    <mergeCell ref="K65:M65"/>
    <mergeCell ref="K66:M66"/>
    <mergeCell ref="L15:N15"/>
    <mergeCell ref="L16:N16"/>
    <mergeCell ref="L17:N17"/>
    <mergeCell ref="N28:Q28"/>
    <mergeCell ref="A19:A20"/>
    <mergeCell ref="A51:C52"/>
    <mergeCell ref="A49:G49"/>
    <mergeCell ref="A46:G46"/>
    <mergeCell ref="A48:G48"/>
    <mergeCell ref="D21:D32"/>
    <mergeCell ref="E21:E32"/>
    <mergeCell ref="F21:F32"/>
    <mergeCell ref="G21:G32"/>
    <mergeCell ref="B19:B20"/>
    <mergeCell ref="D51:F52"/>
    <mergeCell ref="H51:H52"/>
    <mergeCell ref="G51:G52"/>
    <mergeCell ref="J34:T41"/>
    <mergeCell ref="H21:H32"/>
    <mergeCell ref="I21:I32"/>
    <mergeCell ref="J21:J32"/>
    <mergeCell ref="K21:K32"/>
    <mergeCell ref="N26:Q26"/>
    <mergeCell ref="A36:G36"/>
    <mergeCell ref="C2:C6"/>
    <mergeCell ref="B2:B6"/>
    <mergeCell ref="K19:K20"/>
    <mergeCell ref="B21:B32"/>
    <mergeCell ref="C21:C32"/>
    <mergeCell ref="A2:A6"/>
    <mergeCell ref="E2:E6"/>
    <mergeCell ref="D2:D6"/>
    <mergeCell ref="K2:K6"/>
    <mergeCell ref="C19:C20"/>
    <mergeCell ref="D19:D20"/>
    <mergeCell ref="E19:E20"/>
    <mergeCell ref="F19:F20"/>
    <mergeCell ref="G19:G20"/>
    <mergeCell ref="H19:H20"/>
    <mergeCell ref="I19:I20"/>
    <mergeCell ref="J19:J20"/>
    <mergeCell ref="F2:J5"/>
    <mergeCell ref="E82:N84"/>
    <mergeCell ref="A76:D78"/>
    <mergeCell ref="A71:D71"/>
    <mergeCell ref="A72:D72"/>
    <mergeCell ref="A73:D73"/>
    <mergeCell ref="A74:D74"/>
    <mergeCell ref="A75:D75"/>
    <mergeCell ref="A68:D68"/>
    <mergeCell ref="A69:D69"/>
    <mergeCell ref="A70:D70"/>
    <mergeCell ref="A67:D67"/>
    <mergeCell ref="A54:C54"/>
    <mergeCell ref="D62:E62"/>
    <mergeCell ref="A62:C62"/>
    <mergeCell ref="A55:C55"/>
    <mergeCell ref="A56:C56"/>
    <mergeCell ref="A57:C57"/>
    <mergeCell ref="A58:C58"/>
    <mergeCell ref="A59:C59"/>
    <mergeCell ref="A61:C61"/>
    <mergeCell ref="A60:C60"/>
    <mergeCell ref="A65:D65"/>
    <mergeCell ref="A66:D66"/>
    <mergeCell ref="D54:E54"/>
    <mergeCell ref="D55:E55"/>
    <mergeCell ref="D56:E56"/>
    <mergeCell ref="D57:E57"/>
    <mergeCell ref="D58:E58"/>
    <mergeCell ref="D59:E59"/>
    <mergeCell ref="D60:E60"/>
    <mergeCell ref="E66:G66"/>
    <mergeCell ref="E65:G65"/>
    <mergeCell ref="O89:Q89"/>
    <mergeCell ref="G91:N91"/>
    <mergeCell ref="G92:N92"/>
    <mergeCell ref="O90:Q90"/>
    <mergeCell ref="O91:Q91"/>
    <mergeCell ref="O92:Q92"/>
    <mergeCell ref="E94:O97"/>
    <mergeCell ref="H85:M85"/>
    <mergeCell ref="F85:G85"/>
    <mergeCell ref="H86:M86"/>
    <mergeCell ref="H87:M87"/>
    <mergeCell ref="H88:M88"/>
    <mergeCell ref="F86:G86"/>
    <mergeCell ref="F87:G87"/>
    <mergeCell ref="F88:G88"/>
    <mergeCell ref="E89:F89"/>
    <mergeCell ref="E90:F90"/>
    <mergeCell ref="G89:N89"/>
    <mergeCell ref="G90:N9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100"/>
  <sheetViews>
    <sheetView topLeftCell="D18" workbookViewId="0">
      <selection activeCell="Q92" sqref="Q92"/>
    </sheetView>
  </sheetViews>
  <sheetFormatPr defaultRowHeight="15" x14ac:dyDescent="0.25"/>
  <cols>
    <col min="6" max="6" width="13.42578125" customWidth="1"/>
    <col min="13" max="13" width="10.140625" customWidth="1"/>
    <col min="23" max="23" width="26.28515625" customWidth="1"/>
  </cols>
  <sheetData>
    <row r="1" spans="1:29" ht="30" customHeight="1" thickBot="1" x14ac:dyDescent="0.3">
      <c r="A1" s="625" t="s">
        <v>135</v>
      </c>
      <c r="B1" s="626"/>
      <c r="C1" s="627"/>
      <c r="D1" s="625" t="s">
        <v>136</v>
      </c>
      <c r="E1" s="626"/>
      <c r="F1" s="626"/>
      <c r="G1" s="627"/>
      <c r="H1" s="625" t="s">
        <v>137</v>
      </c>
      <c r="I1" s="626"/>
      <c r="J1" s="627"/>
      <c r="K1" s="625" t="s">
        <v>119</v>
      </c>
      <c r="L1" s="626"/>
      <c r="M1" s="626"/>
      <c r="N1" s="627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22.5" customHeight="1" x14ac:dyDescent="0.25">
      <c r="A2" s="386" t="s">
        <v>120</v>
      </c>
      <c r="B2" s="387"/>
      <c r="C2" s="430"/>
      <c r="D2" s="386">
        <v>0</v>
      </c>
      <c r="E2" s="387"/>
      <c r="F2" s="387"/>
      <c r="G2" s="430"/>
      <c r="H2" s="386" t="s">
        <v>121</v>
      </c>
      <c r="I2" s="387"/>
      <c r="J2" s="430"/>
      <c r="K2" s="619" t="s">
        <v>138</v>
      </c>
      <c r="L2" s="635"/>
      <c r="M2" s="635"/>
      <c r="N2" s="636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22.5" customHeight="1" x14ac:dyDescent="0.25">
      <c r="A3" s="431" t="s">
        <v>122</v>
      </c>
      <c r="B3" s="432"/>
      <c r="C3" s="433"/>
      <c r="D3" s="431">
        <v>1</v>
      </c>
      <c r="E3" s="432"/>
      <c r="F3" s="432"/>
      <c r="G3" s="433"/>
      <c r="H3" s="431" t="s">
        <v>123</v>
      </c>
      <c r="I3" s="432"/>
      <c r="J3" s="433"/>
      <c r="K3" s="591" t="s">
        <v>124</v>
      </c>
      <c r="L3" s="637"/>
      <c r="M3" s="637"/>
      <c r="N3" s="59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22.5" customHeight="1" x14ac:dyDescent="0.25">
      <c r="A4" s="431" t="s">
        <v>125</v>
      </c>
      <c r="B4" s="432"/>
      <c r="C4" s="433"/>
      <c r="D4" s="431">
        <v>2</v>
      </c>
      <c r="E4" s="432"/>
      <c r="F4" s="432"/>
      <c r="G4" s="433"/>
      <c r="H4" s="431" t="s">
        <v>126</v>
      </c>
      <c r="I4" s="432"/>
      <c r="J4" s="433"/>
      <c r="K4" s="591" t="s">
        <v>127</v>
      </c>
      <c r="L4" s="637"/>
      <c r="M4" s="637"/>
      <c r="N4" s="59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22.5" customHeight="1" x14ac:dyDescent="0.25">
      <c r="A5" s="431" t="s">
        <v>128</v>
      </c>
      <c r="B5" s="432"/>
      <c r="C5" s="433"/>
      <c r="D5" s="431">
        <v>3</v>
      </c>
      <c r="E5" s="432"/>
      <c r="F5" s="432"/>
      <c r="G5" s="433"/>
      <c r="H5" s="431" t="s">
        <v>129</v>
      </c>
      <c r="I5" s="432"/>
      <c r="J5" s="433"/>
      <c r="K5" s="591" t="s">
        <v>139</v>
      </c>
      <c r="L5" s="637"/>
      <c r="M5" s="637"/>
      <c r="N5" s="59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22.5" customHeight="1" x14ac:dyDescent="0.25">
      <c r="A6" s="431" t="s">
        <v>130</v>
      </c>
      <c r="B6" s="432"/>
      <c r="C6" s="433"/>
      <c r="D6" s="431">
        <v>4</v>
      </c>
      <c r="E6" s="432"/>
      <c r="F6" s="432"/>
      <c r="G6" s="433"/>
      <c r="H6" s="431" t="s">
        <v>131</v>
      </c>
      <c r="I6" s="432"/>
      <c r="J6" s="433"/>
      <c r="K6" s="591" t="s">
        <v>140</v>
      </c>
      <c r="L6" s="637"/>
      <c r="M6" s="637"/>
      <c r="N6" s="59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2.5" customHeight="1" x14ac:dyDescent="0.25">
      <c r="A7" s="431" t="s">
        <v>132</v>
      </c>
      <c r="B7" s="432"/>
      <c r="C7" s="433"/>
      <c r="D7" s="431">
        <v>5</v>
      </c>
      <c r="E7" s="432"/>
      <c r="F7" s="432"/>
      <c r="G7" s="433"/>
      <c r="H7" s="431" t="s">
        <v>133</v>
      </c>
      <c r="I7" s="432"/>
      <c r="J7" s="433"/>
      <c r="K7" s="647" t="s">
        <v>134</v>
      </c>
      <c r="L7" s="648"/>
      <c r="M7" s="648"/>
      <c r="N7" s="64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.75" thickBot="1" x14ac:dyDescent="0.3">
      <c r="A8" s="595" t="s">
        <v>32</v>
      </c>
      <c r="B8" s="534"/>
      <c r="C8" s="535"/>
      <c r="D8" s="595" t="s">
        <v>32</v>
      </c>
      <c r="E8" s="534"/>
      <c r="F8" s="534"/>
      <c r="G8" s="535"/>
      <c r="H8" s="595" t="s">
        <v>32</v>
      </c>
      <c r="I8" s="534"/>
      <c r="J8" s="535"/>
      <c r="K8" s="595" t="s">
        <v>32</v>
      </c>
      <c r="L8" s="534"/>
      <c r="M8" s="534"/>
      <c r="N8" s="535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5.75" thickBot="1" x14ac:dyDescent="0.3">
      <c r="A9" s="590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5" customHeight="1" x14ac:dyDescent="0.25">
      <c r="A10" s="606" t="s">
        <v>141</v>
      </c>
      <c r="B10" s="623"/>
      <c r="C10" s="624"/>
      <c r="D10" s="606" t="s">
        <v>142</v>
      </c>
      <c r="E10" s="623"/>
      <c r="F10" s="623"/>
      <c r="G10" s="607"/>
      <c r="H10" s="632" t="s">
        <v>143</v>
      </c>
      <c r="I10" s="623"/>
      <c r="J10" s="607"/>
      <c r="K10" s="606" t="s">
        <v>151</v>
      </c>
      <c r="L10" s="607"/>
      <c r="M10" s="606" t="s">
        <v>152</v>
      </c>
      <c r="N10" s="612" t="s">
        <v>153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x14ac:dyDescent="0.25">
      <c r="A11" s="608"/>
      <c r="B11" s="628"/>
      <c r="C11" s="629"/>
      <c r="D11" s="608"/>
      <c r="E11" s="628"/>
      <c r="F11" s="628"/>
      <c r="G11" s="609"/>
      <c r="H11" s="633"/>
      <c r="I11" s="628"/>
      <c r="J11" s="609"/>
      <c r="K11" s="608"/>
      <c r="L11" s="609"/>
      <c r="M11" s="608"/>
      <c r="N11" s="61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22.5" customHeight="1" thickBot="1" x14ac:dyDescent="0.3">
      <c r="A12" s="610"/>
      <c r="B12" s="630"/>
      <c r="C12" s="631"/>
      <c r="D12" s="610"/>
      <c r="E12" s="630"/>
      <c r="F12" s="630"/>
      <c r="G12" s="611"/>
      <c r="H12" s="634"/>
      <c r="I12" s="630"/>
      <c r="J12" s="611"/>
      <c r="K12" s="610"/>
      <c r="L12" s="611"/>
      <c r="M12" s="610"/>
      <c r="N12" s="614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22.5" customHeight="1" x14ac:dyDescent="0.25">
      <c r="A13" s="606">
        <v>1</v>
      </c>
      <c r="B13" s="623"/>
      <c r="C13" s="624"/>
      <c r="D13" s="619">
        <v>5</v>
      </c>
      <c r="E13" s="650"/>
      <c r="F13" s="619">
        <v>8</v>
      </c>
      <c r="G13" s="620"/>
      <c r="H13" s="386" t="s">
        <v>144</v>
      </c>
      <c r="I13" s="387"/>
      <c r="J13" s="430"/>
      <c r="K13" s="601">
        <v>9</v>
      </c>
      <c r="L13" s="602"/>
      <c r="M13" s="115" t="str">
        <f t="shared" ref="M13:M20" si="0">CONCATENATE(D13," - ",F13)</f>
        <v>5 - 8</v>
      </c>
      <c r="N13" s="116">
        <v>7</v>
      </c>
      <c r="O13" s="21"/>
      <c r="P13" s="53" t="str">
        <f>IF(K13=1,A13,IF(K13=2,A14,IF(K13=3,A15,IF(K13=4,A16,IF(K13=5,A17,IF(K13=6,A18,IF(K13=7,A19,IF(K13=8,A20,IF(K13=9,A21,)))))))))</f>
        <v>-</v>
      </c>
      <c r="Q13" s="53" t="str">
        <f>IF(K13=1,H13,IF(K13=2,H14,IF(K13=3,H15,IF(K13=4,H16,IF(K13=5,H17,IF(K13=6,H18,IF(K13=7,H19,IF(K13=8,H20,IF(K13=9,H21,)))))))))</f>
        <v>-</v>
      </c>
      <c r="R13" s="53" t="str">
        <f>IF(N13=1,D2,IF(N13=2,D3,IF(N13=3,D4,IF(N13=4,D5,IF(N13=5,D6,IF(N13=6,D7,IF(N13=7,D8)))))))</f>
        <v>-</v>
      </c>
      <c r="S13" s="53" t="str">
        <f>IF(N13=1,H2,IF(N13=2,H3,IF(N13=3,H4,IF(N13=4,H5,IF(N13=5,H6,IF(N13=6,H7,IF(N13=7,H8)))))))</f>
        <v>-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30.75" customHeight="1" x14ac:dyDescent="0.25">
      <c r="A14" s="431">
        <v>2</v>
      </c>
      <c r="B14" s="432"/>
      <c r="C14" s="436"/>
      <c r="D14" s="591">
        <v>7</v>
      </c>
      <c r="E14" s="592"/>
      <c r="F14" s="591">
        <v>10</v>
      </c>
      <c r="G14" s="621"/>
      <c r="H14" s="431" t="s">
        <v>144</v>
      </c>
      <c r="I14" s="432"/>
      <c r="J14" s="433"/>
      <c r="K14" s="596">
        <v>9</v>
      </c>
      <c r="L14" s="597"/>
      <c r="M14" s="117" t="str">
        <f t="shared" si="0"/>
        <v>7 - 10</v>
      </c>
      <c r="N14" s="51">
        <v>7</v>
      </c>
      <c r="O14" s="21"/>
      <c r="P14" s="53" t="str">
        <f>IF(K14=1,A13,IF(K14=2,A14,IF(K14=3,A15,IF(K14=4,A16,IF(K14=5,A17,IF(K14=6,A18,IF(K14=7,A19,IF(K14=8,A20,IF(K14=9,A21,)))))))))</f>
        <v>-</v>
      </c>
      <c r="Q14" s="53" t="str">
        <f>IF(K14=1,H13,IF(K14=2,H14,IF(K14=3,H15,IF(K14=4,H16,IF(K14=5,H17,IF(K14=6,H18,IF(K14=7,H19,IF(K14=8,H20,IF(K14=9,H21,)))))))))</f>
        <v>-</v>
      </c>
      <c r="R14" s="53" t="str">
        <f>IF(N14=1,D2,IF(N14=2,D3,IF(N14=3,D4,IF(N14=4,D5,IF(N14=5,D6,IF(N14=6,D7,IF(N14=7,D8)))))))</f>
        <v>-</v>
      </c>
      <c r="S14" s="53" t="str">
        <f>IF(N14=1,H2,IF(N14=2,H3,IF(N14=3,H4,IF(N14=4,H5,IF(N14=5,H6,IF(N14=6,H7,IF(N14=7,H8)))))))</f>
        <v>-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30.75" customHeight="1" x14ac:dyDescent="0.25">
      <c r="A15" s="431">
        <v>3</v>
      </c>
      <c r="B15" s="432"/>
      <c r="C15" s="436"/>
      <c r="D15" s="591">
        <v>9</v>
      </c>
      <c r="E15" s="592"/>
      <c r="F15" s="591">
        <v>13</v>
      </c>
      <c r="G15" s="621"/>
      <c r="H15" s="431" t="s">
        <v>145</v>
      </c>
      <c r="I15" s="432"/>
      <c r="J15" s="433"/>
      <c r="K15" s="596">
        <v>9</v>
      </c>
      <c r="L15" s="597"/>
      <c r="M15" s="117" t="str">
        <f t="shared" si="0"/>
        <v>9 - 13</v>
      </c>
      <c r="N15" s="51">
        <v>7</v>
      </c>
      <c r="O15" s="21"/>
      <c r="P15" s="53" t="str">
        <f>IF(K15=1,A13,IF(K15=2,A14,IF(K15=3,A15,IF(K15=4,A16,IF(K15=5,A17,IF(K15=6,A18,IF(K15=7,A19,IF(K15=8,A20,IF(K15=9,A21,)))))))))</f>
        <v>-</v>
      </c>
      <c r="Q15" s="53" t="str">
        <f>IF(K15=1,H13,IF(K15=2,H14,IF(K15=3,H15,IF(K15=4,H16,IF(K15=5,H17,IF(K15=6,H18,IF(K15=7,H19,IF(K15=8,H20,IF(K15=9,H21,)))))))))</f>
        <v>-</v>
      </c>
      <c r="R15" s="53" t="str">
        <f>IF(N15=1,D2,IF(N15=2,D3,IF(N15=3,D4,IF(N15=4,D5,IF(N15=5,D6,IF(N15=6,D7,IF(N15=7,D8)))))))</f>
        <v>-</v>
      </c>
      <c r="S15" s="53" t="str">
        <f>IF(N15=1,H2,IF(N15=2,H3,IF(N15=3,H4,IF(N15=4,H5,IF(N15=5,H6,IF(N15=6,H7,IF(N15=7,H8)))))))</f>
        <v>-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30.75" customHeight="1" x14ac:dyDescent="0.25">
      <c r="A16" s="431">
        <v>4</v>
      </c>
      <c r="B16" s="432"/>
      <c r="C16" s="436"/>
      <c r="D16" s="591">
        <v>12</v>
      </c>
      <c r="E16" s="592"/>
      <c r="F16" s="591">
        <v>16</v>
      </c>
      <c r="G16" s="621"/>
      <c r="H16" s="431" t="s">
        <v>146</v>
      </c>
      <c r="I16" s="432"/>
      <c r="J16" s="433"/>
      <c r="K16" s="596">
        <v>9</v>
      </c>
      <c r="L16" s="597"/>
      <c r="M16" s="117" t="str">
        <f t="shared" si="0"/>
        <v>12 - 16</v>
      </c>
      <c r="N16" s="51">
        <v>7</v>
      </c>
      <c r="O16" s="21"/>
      <c r="P16" s="53" t="str">
        <f>IF(K16=1,A13,IF(K16=2,A14,IF(K16=3,A15,IF(K16=4,A16,IF(K16=5,A17,IF(K16=6,A18,IF(K16=7,A19,IF(K16=8,A20,IF(K16=9,A21,)))))))))</f>
        <v>-</v>
      </c>
      <c r="Q16" s="53" t="str">
        <f>IF(K16=1,H13,IF(K16=2,H14,IF(K16=3,H15,IF(K16=4,H16,IF(K16=5,H17,IF(K16=6,H18,IF(K16=7,H19,IF(K16=8,H20,IF(K16=9,H21,)))))))))</f>
        <v>-</v>
      </c>
      <c r="R16" s="53" t="str">
        <f>IF(N16=1,D2,IF(N16=2,D3,IF(N16=3,D4,IF(N16=4,D5,IF(N16=5,D6,IF(N16=6,D7,IF(N16=7,D8)))))))</f>
        <v>-</v>
      </c>
      <c r="S16" s="53" t="str">
        <f>IF(N16=1,H2,IF(N16=2,H3,IF(N16=3,H4,IF(N16=4,H5,IF(N16=5,H6,IF(N16=6,H7,IF(N16=7,H8)))))))</f>
        <v>-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30.75" customHeight="1" x14ac:dyDescent="0.25">
      <c r="A17" s="431">
        <v>5</v>
      </c>
      <c r="B17" s="432"/>
      <c r="C17" s="436"/>
      <c r="D17" s="591">
        <v>15</v>
      </c>
      <c r="E17" s="592"/>
      <c r="F17" s="591">
        <v>20</v>
      </c>
      <c r="G17" s="621"/>
      <c r="H17" s="431" t="s">
        <v>147</v>
      </c>
      <c r="I17" s="432"/>
      <c r="J17" s="433"/>
      <c r="K17" s="596">
        <v>9</v>
      </c>
      <c r="L17" s="597"/>
      <c r="M17" s="117" t="str">
        <f t="shared" si="0"/>
        <v>15 - 20</v>
      </c>
      <c r="N17" s="51">
        <v>7</v>
      </c>
      <c r="O17" s="21"/>
      <c r="P17" s="53" t="str">
        <f>IF(K17=1,A13,IF(K17=2,A14,IF(K17=3,A15,IF(K17=4,A16,IF(K17=5,A17,IF(K17=6,A18,IF(K17=7,A19,IF(K17=8,A20,IF(K17=9,A21,)))))))))</f>
        <v>-</v>
      </c>
      <c r="Q17" s="53" t="str">
        <f>IF(K17=1,H13,IF(K17=2,H14,IF(K17=3,H15,IF(K17=4,H16,IF(K17=5,H17,IF(K17=6,H18,IF(K17=7,H19,IF(K17=8,H20,IF(K17=9,H21,)))))))))</f>
        <v>-</v>
      </c>
      <c r="R17" s="53" t="str">
        <f>IF(N17=1,D2,IF(N17=2,D3,IF(N17=3,D4,IF(N17=4,D5,IF(N17=5,D6,IF(N17=6,D7,IF(N17=7,D8)))))))</f>
        <v>-</v>
      </c>
      <c r="S17" s="53" t="str">
        <f>IF(N17=1,H2,IF(N17=2,H3,IF(N17=3,H4,IF(N17=4,H5,IF(N17=5,H6,IF(N17=6,H7,IF(N17=7,H8)))))))</f>
        <v>-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30.75" customHeight="1" x14ac:dyDescent="0.25">
      <c r="A18" s="431">
        <v>6</v>
      </c>
      <c r="B18" s="432"/>
      <c r="C18" s="436"/>
      <c r="D18" s="591">
        <v>19</v>
      </c>
      <c r="E18" s="592"/>
      <c r="F18" s="591">
        <v>24</v>
      </c>
      <c r="G18" s="621"/>
      <c r="H18" s="431" t="s">
        <v>148</v>
      </c>
      <c r="I18" s="432"/>
      <c r="J18" s="433"/>
      <c r="K18" s="596">
        <v>9</v>
      </c>
      <c r="L18" s="597"/>
      <c r="M18" s="117" t="str">
        <f t="shared" si="0"/>
        <v>19 - 24</v>
      </c>
      <c r="N18" s="51">
        <v>7</v>
      </c>
      <c r="O18" s="21"/>
      <c r="P18" s="53" t="str">
        <f>IF(K18=1,A13,IF(K18=2,A14,IF(K18=3,A15,IF(K18=4,A16,IF(K18=5,A17,IF(K18=6,A18,IF(K18=7,A19,IF(K18=8,A20,IF(K18=9,A21,)))))))))</f>
        <v>-</v>
      </c>
      <c r="Q18" s="53" t="str">
        <f>IF(K18=1,H13,IF(K18=2,H14,IF(K18=3,H15,IF(K18=4,H16,IF(K18=5,H17,IF(K18=6,H18,IF(K18=7,H19,IF(K18=8,H20,IF(K18=9,H21,)))))))))</f>
        <v>-</v>
      </c>
      <c r="R18" s="53" t="str">
        <f>IF(N18=1,D2,IF(N18=2,D3,IF(N18=3,D4,IF(N18=4,D5,IF(N18=5,D6,IF(N18=6,D7,IF(N18=7,D8)))))))</f>
        <v>-</v>
      </c>
      <c r="S18" s="53" t="str">
        <f>IF(N18=1,H2,IF(N18=2,H3,IF(N18=3,H4,IF(N18=4,H5,IF(N18=5,H6,IF(N18=6,H7,IF(N18=7,H8)))))))</f>
        <v>-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30.75" customHeight="1" x14ac:dyDescent="0.25">
      <c r="A19" s="431">
        <v>7</v>
      </c>
      <c r="B19" s="432"/>
      <c r="C19" s="436"/>
      <c r="D19" s="591">
        <v>23</v>
      </c>
      <c r="E19" s="592"/>
      <c r="F19" s="591">
        <v>28</v>
      </c>
      <c r="G19" s="621"/>
      <c r="H19" s="431" t="s">
        <v>149</v>
      </c>
      <c r="I19" s="432"/>
      <c r="J19" s="433"/>
      <c r="K19" s="596">
        <v>9</v>
      </c>
      <c r="L19" s="597"/>
      <c r="M19" s="117" t="str">
        <f t="shared" si="0"/>
        <v>23 - 28</v>
      </c>
      <c r="N19" s="51">
        <v>7</v>
      </c>
      <c r="O19" s="21"/>
      <c r="P19" s="53" t="str">
        <f>IF(K19=1,A13,IF(K19=2,A14,IF(K19=3,A15,IF(K19=4,A16,IF(K19=5,A17,IF(K19=6,A18,IF(K19=7,A19,IF(K19=8,A20,IF(K19=9,A21,)))))))))</f>
        <v>-</v>
      </c>
      <c r="Q19" s="53" t="str">
        <f>IF(K19=1,H13,IF(K19=2,H14,IF(K19=3,H15,IF(K19=4,H16,IF(K19=5,H17,IF(K19=6,H18,IF(K19=7,H19,IF(K19=8,H20,IF(K19=9,H21,)))))))))</f>
        <v>-</v>
      </c>
      <c r="R19" s="53" t="str">
        <f>IF(N19=1,D2,IF(N19=2,D3,IF(N19=3,D4,IF(N19=4,D5,IF(N19=5,D6,IF(N19=6,D7,IF(N19=7,D8)))))))</f>
        <v>-</v>
      </c>
      <c r="S19" s="53" t="str">
        <f>IF(N19=1,H2,IF(N19=2,H3,IF(N19=3,H4,IF(N19=4,H5,IF(N19=5,H6,IF(N19=6,H7,IF(N19=7,H8)))))))</f>
        <v>-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30.75" customHeight="1" x14ac:dyDescent="0.25">
      <c r="A20" s="431">
        <v>8</v>
      </c>
      <c r="B20" s="432"/>
      <c r="C20" s="436"/>
      <c r="D20" s="593">
        <v>27</v>
      </c>
      <c r="E20" s="594"/>
      <c r="F20" s="593">
        <v>32</v>
      </c>
      <c r="G20" s="622"/>
      <c r="H20" s="603" t="s">
        <v>149</v>
      </c>
      <c r="I20" s="604"/>
      <c r="J20" s="605"/>
      <c r="K20" s="596">
        <v>9</v>
      </c>
      <c r="L20" s="597"/>
      <c r="M20" s="118" t="str">
        <f t="shared" si="0"/>
        <v>27 - 32</v>
      </c>
      <c r="N20" s="51">
        <v>7</v>
      </c>
      <c r="O20" s="21"/>
      <c r="P20" s="53" t="str">
        <f>IF(K20=1,A13,IF(K20=2,A14,IF(K20=3,A15,IF(K20=4,A16,IF(K20=5,A17,IF(K20=6,A18,IF(K20=7,A19,IF(K20=8,A20,IF(K20=9,A21,)))))))))</f>
        <v>-</v>
      </c>
      <c r="Q20" s="53" t="str">
        <f>IF(K20=1,H13,IF(K20=2,H14,IF(K20=3,H15,IF(K20=4,H16,IF(K20=5,H17,IF(K20=6,H18,IF(K20=7,H19,IF(K20=8,H20,IF(K20=9,H21,)))))))))</f>
        <v>-</v>
      </c>
      <c r="R20" s="53" t="str">
        <f>IF(N20=1,D2,IF(N20=2,D3,IF(N20=3,D4,IF(N20=4,D5,IF(N20=5,D6,IF(N20=6,D7,IF(N20=7,D8)))))))</f>
        <v>-</v>
      </c>
      <c r="S20" s="53" t="str">
        <f>IF(N20=1,H2,IF(N20=2,H3,IF(N20=3,H4,IF(N20=4,H5,IF(N20=5,H6,IF(N20=6,H7,IF(N20=7,H8)))))))</f>
        <v>-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30.75" customHeight="1" thickBot="1" x14ac:dyDescent="0.3">
      <c r="A21" s="437" t="s">
        <v>32</v>
      </c>
      <c r="B21" s="438"/>
      <c r="C21" s="439"/>
      <c r="D21" s="615" t="s">
        <v>32</v>
      </c>
      <c r="E21" s="616"/>
      <c r="F21" s="617" t="s">
        <v>32</v>
      </c>
      <c r="G21" s="618"/>
      <c r="H21" s="437" t="s">
        <v>32</v>
      </c>
      <c r="I21" s="438"/>
      <c r="J21" s="600"/>
      <c r="K21" s="598"/>
      <c r="L21" s="599"/>
      <c r="M21" s="119" t="s">
        <v>32</v>
      </c>
      <c r="N21" s="120"/>
      <c r="O21" s="21"/>
      <c r="P21" s="1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.7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" customHeight="1" x14ac:dyDescent="0.25">
      <c r="A24" s="551" t="s">
        <v>111</v>
      </c>
      <c r="B24" s="558"/>
      <c r="C24" s="558"/>
      <c r="D24" s="552"/>
      <c r="E24" s="551" t="s">
        <v>155</v>
      </c>
      <c r="F24" s="552"/>
      <c r="G24" s="404" t="s">
        <v>87</v>
      </c>
      <c r="H24" s="405"/>
      <c r="I24" s="406"/>
      <c r="J24" s="404" t="s">
        <v>88</v>
      </c>
      <c r="K24" s="405"/>
      <c r="L24" s="406"/>
      <c r="M24" s="404" t="s">
        <v>164</v>
      </c>
      <c r="N24" s="405"/>
      <c r="O24" s="406"/>
      <c r="P24" s="404" t="s">
        <v>199</v>
      </c>
      <c r="Q24" s="405"/>
      <c r="R24" s="406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1.75" customHeight="1" x14ac:dyDescent="0.25">
      <c r="A25" s="392"/>
      <c r="B25" s="393"/>
      <c r="C25" s="393"/>
      <c r="D25" s="434"/>
      <c r="E25" s="392"/>
      <c r="F25" s="434"/>
      <c r="G25" s="407"/>
      <c r="H25" s="408"/>
      <c r="I25" s="409"/>
      <c r="J25" s="407"/>
      <c r="K25" s="408"/>
      <c r="L25" s="409"/>
      <c r="M25" s="407"/>
      <c r="N25" s="408"/>
      <c r="O25" s="409"/>
      <c r="P25" s="407"/>
      <c r="Q25" s="408"/>
      <c r="R25" s="40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5">
      <c r="A26" s="392"/>
      <c r="B26" s="393"/>
      <c r="C26" s="393"/>
      <c r="D26" s="434"/>
      <c r="E26" s="392"/>
      <c r="F26" s="434"/>
      <c r="G26" s="407"/>
      <c r="H26" s="408"/>
      <c r="I26" s="409"/>
      <c r="J26" s="407"/>
      <c r="K26" s="408"/>
      <c r="L26" s="409"/>
      <c r="M26" s="407"/>
      <c r="N26" s="408"/>
      <c r="O26" s="409"/>
      <c r="P26" s="407"/>
      <c r="Q26" s="408"/>
      <c r="R26" s="409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.75" customHeight="1" thickBot="1" x14ac:dyDescent="0.3">
      <c r="A27" s="383"/>
      <c r="B27" s="384"/>
      <c r="C27" s="384"/>
      <c r="D27" s="435"/>
      <c r="E27" s="383"/>
      <c r="F27" s="435"/>
      <c r="G27" s="410"/>
      <c r="H27" s="411"/>
      <c r="I27" s="412"/>
      <c r="J27" s="410"/>
      <c r="K27" s="411"/>
      <c r="L27" s="412"/>
      <c r="M27" s="410"/>
      <c r="N27" s="411"/>
      <c r="O27" s="412"/>
      <c r="P27" s="410"/>
      <c r="Q27" s="411"/>
      <c r="R27" s="412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 customHeight="1" x14ac:dyDescent="0.25">
      <c r="A28" s="122">
        <v>4</v>
      </c>
      <c r="B28" s="123">
        <v>3</v>
      </c>
      <c r="C28" s="123">
        <v>4</v>
      </c>
      <c r="D28" s="124">
        <v>3</v>
      </c>
      <c r="E28" s="395">
        <f>Габариты!I13</f>
        <v>1</v>
      </c>
      <c r="F28" s="397"/>
      <c r="G28" s="638" t="s">
        <v>165</v>
      </c>
      <c r="H28" s="639"/>
      <c r="I28" s="640"/>
      <c r="J28" s="638" t="s">
        <v>197</v>
      </c>
      <c r="K28" s="639"/>
      <c r="L28" s="640"/>
      <c r="M28" s="638" t="s">
        <v>198</v>
      </c>
      <c r="N28" s="639"/>
      <c r="O28" s="640"/>
      <c r="P28" s="405" t="s">
        <v>200</v>
      </c>
      <c r="Q28" s="405"/>
      <c r="R28" s="40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25">
      <c r="A29" s="125">
        <v>6</v>
      </c>
      <c r="B29" s="126">
        <v>3</v>
      </c>
      <c r="C29" s="126">
        <v>6</v>
      </c>
      <c r="D29" s="127">
        <v>3</v>
      </c>
      <c r="E29" s="398"/>
      <c r="F29" s="400"/>
      <c r="G29" s="641"/>
      <c r="H29" s="642"/>
      <c r="I29" s="643"/>
      <c r="J29" s="641"/>
      <c r="K29" s="642"/>
      <c r="L29" s="643"/>
      <c r="M29" s="641"/>
      <c r="N29" s="642"/>
      <c r="O29" s="643"/>
      <c r="P29" s="408"/>
      <c r="Q29" s="408"/>
      <c r="R29" s="408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x14ac:dyDescent="0.25">
      <c r="A30" s="128">
        <v>2</v>
      </c>
      <c r="B30" s="129">
        <v>0</v>
      </c>
      <c r="C30" s="129">
        <v>2</v>
      </c>
      <c r="D30" s="130">
        <v>0</v>
      </c>
      <c r="E30" s="398"/>
      <c r="F30" s="400"/>
      <c r="G30" s="641"/>
      <c r="H30" s="642"/>
      <c r="I30" s="643"/>
      <c r="J30" s="641"/>
      <c r="K30" s="642"/>
      <c r="L30" s="643"/>
      <c r="M30" s="641"/>
      <c r="N30" s="642"/>
      <c r="O30" s="643"/>
      <c r="P30" s="408"/>
      <c r="Q30" s="408"/>
      <c r="R30" s="408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.75" x14ac:dyDescent="0.25">
      <c r="A31" s="128">
        <v>25</v>
      </c>
      <c r="B31" s="129">
        <v>25</v>
      </c>
      <c r="C31" s="129">
        <v>25</v>
      </c>
      <c r="D31" s="130">
        <v>25</v>
      </c>
      <c r="E31" s="398"/>
      <c r="F31" s="400"/>
      <c r="G31" s="641"/>
      <c r="H31" s="642"/>
      <c r="I31" s="643"/>
      <c r="J31" s="641"/>
      <c r="K31" s="642"/>
      <c r="L31" s="643"/>
      <c r="M31" s="641"/>
      <c r="N31" s="642"/>
      <c r="O31" s="643"/>
      <c r="P31" s="408"/>
      <c r="Q31" s="408"/>
      <c r="R31" s="408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6.5" thickBot="1" x14ac:dyDescent="0.3">
      <c r="A32" s="131">
        <v>10</v>
      </c>
      <c r="B32" s="132">
        <v>10</v>
      </c>
      <c r="C32" s="132">
        <v>10</v>
      </c>
      <c r="D32" s="133">
        <v>10</v>
      </c>
      <c r="E32" s="401"/>
      <c r="F32" s="403"/>
      <c r="G32" s="644"/>
      <c r="H32" s="645"/>
      <c r="I32" s="646"/>
      <c r="J32" s="644"/>
      <c r="K32" s="645"/>
      <c r="L32" s="646"/>
      <c r="M32" s="644"/>
      <c r="N32" s="645"/>
      <c r="O32" s="646"/>
      <c r="P32" s="408"/>
      <c r="Q32" s="408"/>
      <c r="R32" s="408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6.5" thickBot="1" x14ac:dyDescent="0.3">
      <c r="A33" s="134"/>
      <c r="B33" s="134"/>
      <c r="C33" s="134"/>
      <c r="D33" s="135"/>
      <c r="E33" s="136"/>
      <c r="F33" s="136"/>
      <c r="G33" s="94"/>
      <c r="H33" s="94"/>
      <c r="I33" s="94"/>
      <c r="J33" s="94"/>
      <c r="K33" s="94"/>
      <c r="L33" s="94"/>
      <c r="M33" s="21"/>
      <c r="N33" s="21"/>
      <c r="O33" s="21"/>
      <c r="P33" s="408"/>
      <c r="Q33" s="408"/>
      <c r="R33" s="408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thickBot="1" x14ac:dyDescent="0.3">
      <c r="A34" s="206" t="s">
        <v>150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5"/>
      <c r="L34" s="94"/>
      <c r="M34" s="21"/>
      <c r="N34" s="21"/>
      <c r="O34" s="21"/>
      <c r="P34" s="408"/>
      <c r="Q34" s="408"/>
      <c r="R34" s="408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.75" thickBot="1" x14ac:dyDescent="0.3">
      <c r="A35" s="651" t="s">
        <v>156</v>
      </c>
      <c r="B35" s="652"/>
      <c r="C35" s="651" t="s">
        <v>157</v>
      </c>
      <c r="D35" s="653"/>
      <c r="E35" s="652"/>
      <c r="F35" s="651" t="s">
        <v>158</v>
      </c>
      <c r="G35" s="653"/>
      <c r="H35" s="652"/>
      <c r="I35" s="651" t="s">
        <v>159</v>
      </c>
      <c r="J35" s="653"/>
      <c r="K35" s="652"/>
      <c r="L35" s="94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x14ac:dyDescent="0.25">
      <c r="A36" s="654">
        <f>IF('Опросный лист'!B73="-",0,'Опросный лист'!B73)</f>
        <v>0</v>
      </c>
      <c r="B36" s="655"/>
      <c r="C36" s="654">
        <f>IF('Опросный лист'!D73="-",0,'Опросный лист'!D73)</f>
        <v>0</v>
      </c>
      <c r="D36" s="656"/>
      <c r="E36" s="657"/>
      <c r="F36" s="654">
        <f>IF('Опросный лист'!G73="-",0,'Опросный лист'!G73)</f>
        <v>0</v>
      </c>
      <c r="G36" s="656"/>
      <c r="H36" s="657"/>
      <c r="I36" s="658">
        <f>IF('Опросный лист'!J73="-",0,'Опросный лист'!J73)</f>
        <v>0</v>
      </c>
      <c r="J36" s="656"/>
      <c r="K36" s="657"/>
      <c r="L36" s="9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.75" x14ac:dyDescent="0.25">
      <c r="A37" s="659">
        <f>IF('Опросный лист'!B74="-",0,'Опросный лист'!B74)</f>
        <v>0</v>
      </c>
      <c r="B37" s="660"/>
      <c r="C37" s="661">
        <f>IF('Опросный лист'!D74="-",0,'Опросный лист'!D74)</f>
        <v>0</v>
      </c>
      <c r="D37" s="662"/>
      <c r="E37" s="663"/>
      <c r="F37" s="661">
        <f>IF('Опросный лист'!G74="-",0,'Опросный лист'!G74)</f>
        <v>0</v>
      </c>
      <c r="G37" s="662"/>
      <c r="H37" s="663"/>
      <c r="I37" s="664">
        <f>IF('Опросный лист'!J74="-",0,'Опросный лист'!J74)</f>
        <v>0</v>
      </c>
      <c r="J37" s="662"/>
      <c r="K37" s="663"/>
      <c r="L37" s="94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.75" x14ac:dyDescent="0.25">
      <c r="A38" s="659">
        <f>IF('Опросный лист'!B75="-",0,'Опросный лист'!B75)</f>
        <v>0</v>
      </c>
      <c r="B38" s="660"/>
      <c r="C38" s="661">
        <f>IF('Опросный лист'!D75="-",0,'Опросный лист'!D75)</f>
        <v>0</v>
      </c>
      <c r="D38" s="662"/>
      <c r="E38" s="663"/>
      <c r="F38" s="661">
        <f>IF('Опросный лист'!G75="-",0,'Опросный лист'!G75)</f>
        <v>0</v>
      </c>
      <c r="G38" s="662"/>
      <c r="H38" s="663"/>
      <c r="I38" s="664">
        <f>IF('Опросный лист'!J75="-",0,'Опросный лист'!J75)</f>
        <v>0</v>
      </c>
      <c r="J38" s="662"/>
      <c r="K38" s="663"/>
      <c r="L38" s="94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.75" x14ac:dyDescent="0.25">
      <c r="A39" s="659">
        <f>IF('Опросный лист'!B76="-",0,'Опросный лист'!B76)</f>
        <v>0</v>
      </c>
      <c r="B39" s="660"/>
      <c r="C39" s="661">
        <f>IF('Опросный лист'!D76="-",0,'Опросный лист'!D76)</f>
        <v>0</v>
      </c>
      <c r="D39" s="662"/>
      <c r="E39" s="663"/>
      <c r="F39" s="661">
        <f>IF('Опросный лист'!G76="-",0,'Опросный лист'!G76)</f>
        <v>0</v>
      </c>
      <c r="G39" s="662"/>
      <c r="H39" s="663"/>
      <c r="I39" s="664">
        <f>IF('Опросный лист'!J76="-",0,'Опросный лист'!J76)</f>
        <v>0</v>
      </c>
      <c r="J39" s="662"/>
      <c r="K39" s="663"/>
      <c r="L39" s="94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x14ac:dyDescent="0.25">
      <c r="A40" s="659">
        <f>IF('Опросный лист'!B77="-",0,'Опросный лист'!B77)</f>
        <v>0</v>
      </c>
      <c r="B40" s="660"/>
      <c r="C40" s="661">
        <f>IF('Опросный лист'!D77="-",0,'Опросный лист'!D77)</f>
        <v>0</v>
      </c>
      <c r="D40" s="662"/>
      <c r="E40" s="663"/>
      <c r="F40" s="661">
        <f>IF('Опросный лист'!G77="-",0,'Опросный лист'!G77)</f>
        <v>0</v>
      </c>
      <c r="G40" s="662"/>
      <c r="H40" s="663"/>
      <c r="I40" s="664">
        <f>IF('Опросный лист'!J77="-",0,'Опросный лист'!J77)</f>
        <v>0</v>
      </c>
      <c r="J40" s="662"/>
      <c r="K40" s="663"/>
      <c r="L40" s="94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.75" x14ac:dyDescent="0.25">
      <c r="A41" s="659">
        <f>IF('Опросный лист'!B78="-",0,'Опросный лист'!B78)</f>
        <v>0</v>
      </c>
      <c r="B41" s="660"/>
      <c r="C41" s="661">
        <f>IF('Опросный лист'!D78="-",0,'Опросный лист'!D78)</f>
        <v>0</v>
      </c>
      <c r="D41" s="662"/>
      <c r="E41" s="663"/>
      <c r="F41" s="661">
        <f>IF('Опросный лист'!G78="-",0,'Опросный лист'!G78)</f>
        <v>0</v>
      </c>
      <c r="G41" s="662"/>
      <c r="H41" s="663"/>
      <c r="I41" s="664">
        <f>IF('Опросный лист'!J78="-",0,'Опросный лист'!J78)</f>
        <v>0</v>
      </c>
      <c r="J41" s="662"/>
      <c r="K41" s="663"/>
      <c r="L41" s="94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.75" x14ac:dyDescent="0.25">
      <c r="A42" s="659">
        <f>IF('Опросный лист'!B79="-",0,'Опросный лист'!B79)</f>
        <v>0</v>
      </c>
      <c r="B42" s="660"/>
      <c r="C42" s="661">
        <f>IF('Опросный лист'!D79="-",0,'Опросный лист'!D79)</f>
        <v>0</v>
      </c>
      <c r="D42" s="662"/>
      <c r="E42" s="663"/>
      <c r="F42" s="661">
        <f>IF('Опросный лист'!G79="-",0,'Опросный лист'!G79)</f>
        <v>0</v>
      </c>
      <c r="G42" s="662"/>
      <c r="H42" s="663"/>
      <c r="I42" s="664">
        <f>IF('Опросный лист'!J79="-",0,'Опросный лист'!J79)</f>
        <v>0</v>
      </c>
      <c r="J42" s="662"/>
      <c r="K42" s="663"/>
      <c r="L42" s="94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6.5" thickBot="1" x14ac:dyDescent="0.3">
      <c r="A43" s="680">
        <f>IF('Опросный лист'!B80="-",0,'Опросный лист'!B80)</f>
        <v>0</v>
      </c>
      <c r="B43" s="681"/>
      <c r="C43" s="666">
        <f>IF('Опросный лист'!D80="-",0,'Опросный лист'!D80)</f>
        <v>0</v>
      </c>
      <c r="D43" s="667"/>
      <c r="E43" s="668"/>
      <c r="F43" s="666">
        <f>IF('Опросный лист'!G80="-",0,'Опросный лист'!G80)</f>
        <v>0</v>
      </c>
      <c r="G43" s="667"/>
      <c r="H43" s="668"/>
      <c r="I43" s="669">
        <f>IF('Опросный лист'!J80="-",0,'Опросный лист'!J80)</f>
        <v>0</v>
      </c>
      <c r="J43" s="667"/>
      <c r="K43" s="668"/>
      <c r="L43" s="94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.75" x14ac:dyDescent="0.25">
      <c r="A44" s="134"/>
      <c r="B44" s="134"/>
      <c r="C44" s="134"/>
      <c r="D44" s="135"/>
      <c r="E44" s="136"/>
      <c r="F44" s="136"/>
      <c r="G44" s="94"/>
      <c r="H44" s="94"/>
      <c r="I44" s="94"/>
      <c r="J44" s="94"/>
      <c r="K44" s="94"/>
      <c r="L44" s="94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.75" thickBo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.75" thickBot="1" x14ac:dyDescent="0.3">
      <c r="A46" s="673" t="s">
        <v>161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5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.75" thickBot="1" x14ac:dyDescent="0.3">
      <c r="A47" s="670" t="str">
        <f>IF(OR(AND(NOT(K13=9),N13=7),AND(NOT(K14=9),N14=7),AND(NOT(K15=9),N15=7),AND(NOT(K16=9),N16=7),AND(NOT(K17=9),N17=7),AND(NOT(K18=9),N18=7),AND(NOT(K19=9),N19=7),AND(NOT(K20=9),N20=7)),J28,"норма")</f>
        <v>норма</v>
      </c>
      <c r="B47" s="671"/>
      <c r="C47" s="671"/>
      <c r="D47" s="671"/>
      <c r="E47" s="671"/>
      <c r="F47" s="671"/>
      <c r="G47" s="671"/>
      <c r="H47" s="671"/>
      <c r="I47" s="671"/>
      <c r="J47" s="671"/>
      <c r="K47" s="671"/>
      <c r="L47" s="672"/>
      <c r="M47" s="6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.75" thickBot="1" x14ac:dyDescent="0.3">
      <c r="A48" s="453" t="s">
        <v>162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5"/>
      <c r="M48" s="6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.75" thickBot="1" x14ac:dyDescent="0.3">
      <c r="A49" s="453" t="s">
        <v>156</v>
      </c>
      <c r="B49" s="454"/>
      <c r="C49" s="454"/>
      <c r="D49" s="453" t="s">
        <v>157</v>
      </c>
      <c r="E49" s="454"/>
      <c r="F49" s="455"/>
      <c r="G49" s="453" t="s">
        <v>158</v>
      </c>
      <c r="H49" s="454"/>
      <c r="I49" s="455"/>
      <c r="J49" s="454" t="s">
        <v>159</v>
      </c>
      <c r="K49" s="454"/>
      <c r="L49" s="455"/>
      <c r="M49" s="6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.75" thickBot="1" x14ac:dyDescent="0.3">
      <c r="A50" s="670" t="str">
        <f>IF(AND(E28=1,SUM(A36:B43)&gt;A28),G28,IF(AND(E28=2,SUM(A36:B43)&gt;A29),G28,IF(AND(E28=3,SUM(A36:B43)&gt;A30),G28,IF(AND(E28=4,SUM(A36:B43)&gt;A31),G28,IF(AND(E28=5,SUM(A36:B43)&gt;A32),G28,"Норма")))))</f>
        <v>Норма</v>
      </c>
      <c r="B50" s="671"/>
      <c r="C50" s="671"/>
      <c r="D50" s="670" t="str">
        <f>IF(AND(E28=1,SUM(C36:E43)&gt;B28),G28,IF(AND(E28=2,SUM(C36:E43)&gt;B29),G28,IF(AND(E28=3,SUM(C36:E43)&gt;B30),G28,IF(AND(E28=4,SUM(C36:E43)&gt;B31),G28,IF(AND(E28=5,SUM(C36:E43)&gt;B32),G28,"Норма")))))</f>
        <v>Норма</v>
      </c>
      <c r="E50" s="671"/>
      <c r="F50" s="671"/>
      <c r="G50" s="670" t="str">
        <f>IF(AND(E28=1,SUM(F36:H43)&gt;C28),G28,IF(AND(E28=2,SUM(F36:H43)&gt;C29),G28,IF(AND(E28=3,SUM(F36:H43)&gt;C30),G28,IF(AND(E28=4,SUM(F36:H43)&gt;C31),G28,IF(AND(E28=5,SUM(F36:H43)&gt;C32),G28,"Норма")))))</f>
        <v>Норма</v>
      </c>
      <c r="H50" s="671"/>
      <c r="I50" s="671"/>
      <c r="J50" s="670" t="str">
        <f>IF(AND(E28=1,SUM(I36:K43)&gt;D28),G28,IF(AND(E28=2,SUM(I36:K43)&gt;D29),G28,IF(AND(E28=3,SUM(I36:K43)&gt;D30),G28,IF(AND(E28=4,SUM(I36:K43)&gt;D31),G28,IF(AND(E28=5,SUM(I36:K43)&gt;D32),G28,"Норма")))))</f>
        <v>Норма</v>
      </c>
      <c r="K50" s="671"/>
      <c r="L50" s="671"/>
      <c r="M50" s="68"/>
      <c r="N50" s="21"/>
      <c r="O50" s="21"/>
      <c r="P50" s="21"/>
      <c r="Q50" s="21"/>
      <c r="R50" s="160" t="str">
        <f>IF(OR(A50=G28,D50=G28,G50=G28,J50=E28),"Х","НОРМА")</f>
        <v>НОРМА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x14ac:dyDescent="0.25">
      <c r="A51" s="464" t="s">
        <v>163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6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x14ac:dyDescent="0.25">
      <c r="A52" s="665">
        <f>IF(M52="норма",IF(AND(NOT(K13=9),NOT(A36=0)),CONCATENATE(A36,R13,K13),0),M52)</f>
        <v>0</v>
      </c>
      <c r="B52" s="665"/>
      <c r="C52" s="665"/>
      <c r="D52" s="665">
        <f>IF(M52="норма",IF(AND(NOT(K13=9),NOT(C36=0)),CONCATENATE(C36,R13,K13),0),M52)</f>
        <v>0</v>
      </c>
      <c r="E52" s="665"/>
      <c r="F52" s="665"/>
      <c r="G52" s="665">
        <f>IF(M52="норма",IF(AND(NOT(K13=9),NOT(F36=0)),CONCATENATE(F36,R13,K13),0),M52)</f>
        <v>0</v>
      </c>
      <c r="H52" s="665"/>
      <c r="I52" s="665"/>
      <c r="J52" s="665">
        <f>IF(M52="норма",IF(AND(NOT(K13=9),NOT(I36=0)),CONCATENATE(I36,R13,K13),0),M52)</f>
        <v>0</v>
      </c>
      <c r="K52" s="665"/>
      <c r="L52" s="665"/>
      <c r="M52" s="452" t="str">
        <f>IF(OR(AND(NOT(K13=9),NOT(N13=7),A36=0,C36=0,F36=0,I36=0)),M28,"норма")</f>
        <v>норма</v>
      </c>
      <c r="N52" s="676"/>
      <c r="O52" s="676"/>
      <c r="P52" s="676"/>
      <c r="Q52" s="676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x14ac:dyDescent="0.25">
      <c r="A53" s="665">
        <f t="shared" ref="A53:A59" si="1">IF(M53="норма",IF(AND(NOT(K14=9),NOT(A37=0)),CONCATENATE(IF(NOT(A52=0)," - ",""),A37,R14,K14),0),M53)</f>
        <v>0</v>
      </c>
      <c r="B53" s="665"/>
      <c r="C53" s="665"/>
      <c r="D53" s="677">
        <f t="shared" ref="D53:D59" si="2">IF(M53="норма",IF(AND(NOT(K14=9),NOT(C37=0)),CONCATENATE(IF(NOT(D52=0)," - ",""),C37,R14,K14),0),M53)</f>
        <v>0</v>
      </c>
      <c r="E53" s="678"/>
      <c r="F53" s="679"/>
      <c r="G53" s="665">
        <f t="shared" ref="G53:G59" si="3">IF(M53="норма",IF(AND(NOT(K14=9),NOT(F37=0)),CONCATENATE(IF(NOT(G52=0)," - ",""),F37,R14,K14),0),M53)</f>
        <v>0</v>
      </c>
      <c r="H53" s="665"/>
      <c r="I53" s="665"/>
      <c r="J53" s="665">
        <f t="shared" ref="J53:J59" si="4">IF(M53="норма",IF(AND(NOT(K14=9),NOT(I37=0)),CONCATENATE(IF(NOT(J52=0)," - ",""),I37,R14,K14),0),M53)</f>
        <v>0</v>
      </c>
      <c r="K53" s="665"/>
      <c r="L53" s="665"/>
      <c r="M53" s="452" t="str">
        <f>IF(OR(AND(NOT(K14=9),NOT(N14=7),A37=0,C37=0,F37=0,I37=0)),M28,"норма")</f>
        <v>норма</v>
      </c>
      <c r="N53" s="676"/>
      <c r="O53" s="676"/>
      <c r="P53" s="676"/>
      <c r="Q53" s="676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x14ac:dyDescent="0.25">
      <c r="A54" s="665">
        <f t="shared" si="1"/>
        <v>0</v>
      </c>
      <c r="B54" s="665"/>
      <c r="C54" s="665"/>
      <c r="D54" s="677">
        <f t="shared" si="2"/>
        <v>0</v>
      </c>
      <c r="E54" s="678"/>
      <c r="F54" s="679"/>
      <c r="G54" s="665">
        <f t="shared" si="3"/>
        <v>0</v>
      </c>
      <c r="H54" s="665"/>
      <c r="I54" s="665"/>
      <c r="J54" s="665">
        <f t="shared" si="4"/>
        <v>0</v>
      </c>
      <c r="K54" s="665"/>
      <c r="L54" s="665"/>
      <c r="M54" s="452" t="str">
        <f>IF(OR(AND(NOT(K15=9),NOT(N15=7),A38=0,C38=0,F38=0,I38=0)),M28,"норма")</f>
        <v>норма</v>
      </c>
      <c r="N54" s="676"/>
      <c r="O54" s="676"/>
      <c r="P54" s="676"/>
      <c r="Q54" s="676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x14ac:dyDescent="0.25">
      <c r="A55" s="665">
        <f t="shared" si="1"/>
        <v>0</v>
      </c>
      <c r="B55" s="665"/>
      <c r="C55" s="665"/>
      <c r="D55" s="677">
        <f t="shared" si="2"/>
        <v>0</v>
      </c>
      <c r="E55" s="678"/>
      <c r="F55" s="679"/>
      <c r="G55" s="665">
        <f t="shared" si="3"/>
        <v>0</v>
      </c>
      <c r="H55" s="665"/>
      <c r="I55" s="665"/>
      <c r="J55" s="665">
        <f t="shared" si="4"/>
        <v>0</v>
      </c>
      <c r="K55" s="665"/>
      <c r="L55" s="665"/>
      <c r="M55" s="452" t="str">
        <f>IF(OR(AND(NOT(K16=9),NOT(N16=7),A39=0,C39=0,F39=0,I39=0)),M28,"норма")</f>
        <v>норма</v>
      </c>
      <c r="N55" s="676"/>
      <c r="O55" s="676"/>
      <c r="P55" s="676"/>
      <c r="Q55" s="676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x14ac:dyDescent="0.25">
      <c r="A56" s="665">
        <f t="shared" si="1"/>
        <v>0</v>
      </c>
      <c r="B56" s="665"/>
      <c r="C56" s="665"/>
      <c r="D56" s="677">
        <f t="shared" si="2"/>
        <v>0</v>
      </c>
      <c r="E56" s="678"/>
      <c r="F56" s="679"/>
      <c r="G56" s="665">
        <f t="shared" si="3"/>
        <v>0</v>
      </c>
      <c r="H56" s="665"/>
      <c r="I56" s="665"/>
      <c r="J56" s="665">
        <f t="shared" si="4"/>
        <v>0</v>
      </c>
      <c r="K56" s="665"/>
      <c r="L56" s="665"/>
      <c r="M56" s="452" t="str">
        <f>IF(OR(AND(NOT(K17=9),NOT(N17=7),A40=0,C40=0,F40=0,I40=0)),M28,"норма")</f>
        <v>норма</v>
      </c>
      <c r="N56" s="676"/>
      <c r="O56" s="676"/>
      <c r="P56" s="676"/>
      <c r="Q56" s="676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x14ac:dyDescent="0.25">
      <c r="A57" s="665">
        <f t="shared" si="1"/>
        <v>0</v>
      </c>
      <c r="B57" s="665"/>
      <c r="C57" s="665"/>
      <c r="D57" s="677">
        <f t="shared" si="2"/>
        <v>0</v>
      </c>
      <c r="E57" s="678"/>
      <c r="F57" s="679"/>
      <c r="G57" s="665">
        <f t="shared" si="3"/>
        <v>0</v>
      </c>
      <c r="H57" s="665"/>
      <c r="I57" s="665"/>
      <c r="J57" s="665">
        <f t="shared" si="4"/>
        <v>0</v>
      </c>
      <c r="K57" s="665"/>
      <c r="L57" s="665"/>
      <c r="M57" s="452" t="str">
        <f>IF(OR(AND(NOT(K18=9),NOT(N18=7),A41=0,C41=0,F41=0,I41=0)),M28,"норма")</f>
        <v>норма</v>
      </c>
      <c r="N57" s="676"/>
      <c r="O57" s="676"/>
      <c r="P57" s="676"/>
      <c r="Q57" s="676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x14ac:dyDescent="0.25">
      <c r="A58" s="665">
        <f t="shared" si="1"/>
        <v>0</v>
      </c>
      <c r="B58" s="665"/>
      <c r="C58" s="665"/>
      <c r="D58" s="677">
        <f t="shared" si="2"/>
        <v>0</v>
      </c>
      <c r="E58" s="678"/>
      <c r="F58" s="679"/>
      <c r="G58" s="665">
        <f t="shared" si="3"/>
        <v>0</v>
      </c>
      <c r="H58" s="665"/>
      <c r="I58" s="665"/>
      <c r="J58" s="665">
        <f t="shared" si="4"/>
        <v>0</v>
      </c>
      <c r="K58" s="665"/>
      <c r="L58" s="665"/>
      <c r="M58" s="452" t="str">
        <f>IF(OR(AND(NOT(K19=9),NOT(N19=7),A42=0,C42=0,F42=0,I42=0)),M28,"норма")</f>
        <v>норма</v>
      </c>
      <c r="N58" s="676"/>
      <c r="O58" s="676"/>
      <c r="P58" s="676"/>
      <c r="Q58" s="676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x14ac:dyDescent="0.25">
      <c r="A59" s="665">
        <f t="shared" si="1"/>
        <v>0</v>
      </c>
      <c r="B59" s="665"/>
      <c r="C59" s="665"/>
      <c r="D59" s="677">
        <f t="shared" si="2"/>
        <v>0</v>
      </c>
      <c r="E59" s="678"/>
      <c r="F59" s="679"/>
      <c r="G59" s="665">
        <f t="shared" si="3"/>
        <v>0</v>
      </c>
      <c r="H59" s="665"/>
      <c r="I59" s="665"/>
      <c r="J59" s="665">
        <f t="shared" si="4"/>
        <v>0</v>
      </c>
      <c r="K59" s="665"/>
      <c r="L59" s="665"/>
      <c r="M59" s="452" t="str">
        <f>IF(OR(AND(NOT(K20=9),NOT(N20=7),A43=0,C43=0,F43=0,I43=0)),M28,"норма")</f>
        <v>норма</v>
      </c>
      <c r="N59" s="676"/>
      <c r="O59" s="676"/>
      <c r="P59" s="676"/>
      <c r="Q59" s="676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15.75" thickBot="1" x14ac:dyDescent="0.3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46"/>
      <c r="O60" s="46"/>
      <c r="P60" s="46"/>
      <c r="Q60" s="46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ht="15.75" thickBot="1" x14ac:dyDescent="0.3">
      <c r="A61" s="484" t="str">
        <f>CONCATENATE(IF(AND(A52=0,A53=0,A54=0,A55=0,A56=0,A57=0,A58=0,A59=0),"","("),IF(A52=0,"",A52),IF(A53=0,"",A53),IF(A54=0,"",A54),IF(A55=0,"",A55),IF(A56=0,"",A56),IF(A57=0,"",A57),IF(A58=0,"",A58),IF(A59=0,"",A59),IF(AND(A52=0,A53=0,A54=0,A55=0,A56=0,A57=0,A58=0,A59=0),"",")"))</f>
        <v/>
      </c>
      <c r="B61" s="484"/>
      <c r="C61" s="484"/>
      <c r="D61" s="484" t="str">
        <f>CONCATENATE(IF(AND(D52=0,D53=0,D54=0,D55=0,D56=0,D57=0,D58=0,D59=0),"","("),IF(D52=0,"",D52),IF(D53=0,"",D53),IF(D54=0,"",D54),IF(D55=0,"",D55),IF(D56=0,"",D56),IF(D57=0,"",D57),IF(D58=0,"",D58),IF(D59=0,"",D59),IF(AND(D52=0,D53=0,D54=0,D55=0,D56=0,D57=0,D58=0,D59=0),"",")"))</f>
        <v/>
      </c>
      <c r="E61" s="484"/>
      <c r="F61" s="484"/>
      <c r="G61" s="484" t="str">
        <f>CONCATENATE(IF(AND(G52=0,G53=0,G54=0,G55=0,G56=0,G57=0,G58=0,G59=0),"","("),IF(G52=0,"",G52),IF(G53=0,"",G53),IF(G54=0,"",G54),IF(G55=0,"",G55),IF(G56=0,"",G56),IF(G57=0,"",G57),IF(G58=0,"",G58),IF(G59=0,"",G59),IF(AND(G52=0,G53=0,G54=0,G55=0,G56=0,G57=0,G58=0,G59=0),"",")"))</f>
        <v/>
      </c>
      <c r="H61" s="484"/>
      <c r="I61" s="484"/>
      <c r="J61" s="484" t="str">
        <f>CONCATENATE(IF(AND(J52=0,J53=0,J54=0,J55=0,J56=0,J57=0,J58=0,J59=0),"","("),IF(J52=0,"",J52),IF(J53=0,"",J53),IF(J54=0,"",J54),IF(J55=0,"",J55),IF(J56=0,"",J56),IF(J57=0,"",J57),IF(J58=0,"",J58),IF(J59=0,"",J59),IF(AND(J52=0,J53=0,J54=0,J55=0,J56=0,J57=0,J58=0,J59=0),"",")"))</f>
        <v/>
      </c>
      <c r="K61" s="484"/>
      <c r="L61" s="484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ht="15.75" thickBot="1" x14ac:dyDescent="0.3">
      <c r="A62" s="676" t="str">
        <f>IF(AND(E28=1,SUM(A36:B43)&gt;A28),G28,IF(AND(E28=2,SUM(A36:B43)&gt;A29),G28,IF(AND(E28=3,SUM(A36:B43)&gt;A30),G28,IF(AND(E28=4,SUM(A36:B43)&gt;A31),G28,IF(AND(E28=5,SUM(A36:B43)&gt;A32),G28,A61)))))</f>
        <v/>
      </c>
      <c r="B62" s="676"/>
      <c r="C62" s="452"/>
      <c r="D62" s="452" t="str">
        <f>IF(AND(E28=1,SUM(C36:E43)&gt;B28),G28,IF(AND(E28=2,SUM(C36:E43)&gt;B29),G28,IF(AND(E28=3,SUM(C36:E43)&gt;B30),G28,IF(AND(E28=4,SUM(C36:E43)&gt;B31),G28,IF(AND(E28=5,SUM(C36:E43)&gt;B32),G28,D61)))))</f>
        <v/>
      </c>
      <c r="E62" s="452"/>
      <c r="F62" s="452"/>
      <c r="G62" s="676" t="str">
        <f>IF(AND(E28=1,SUM(F36:H43)&gt;C28),G28,IF(AND(E28=2,SUM(F36:H43)&gt;C29),G28,IF(AND(E28=3,SUM(F36:H43)&gt;C30),G28,IF(AND(E28=4,SUM(F36:H43)&gt;C31),G28,IF(AND(E28=5,SUM(F36:H43)&gt;C32),G28,G61)))))</f>
        <v/>
      </c>
      <c r="H62" s="676"/>
      <c r="I62" s="676"/>
      <c r="J62" s="676" t="str">
        <f>IF(AND(E28=1,SUM(I36:K43)&gt;D28),G28,IF(AND(E28=2,SUM(I36:K43)&gt;D29),G28,IF(AND(E28=3,SUM(I36:K43)&gt;D30),G28,IF(AND(E28=4,SUM(I36:K43)&gt;D31),G28,IF(AND(E28=5,SUM(I36:K43)&gt;D32),G28,J61)))))</f>
        <v/>
      </c>
      <c r="K62" s="676"/>
      <c r="L62" s="676"/>
      <c r="M62" s="21"/>
      <c r="N62" s="21"/>
      <c r="O62" s="21"/>
      <c r="P62" s="21"/>
      <c r="Q62" s="21"/>
      <c r="R62" s="160" t="str">
        <f>IF(OR(M52=M28,M53=M28,M54=M28,M55=M28,M56=M28,M57=M28,M58=M28,M59=M28),"Х","НОРМА")</f>
        <v>НОРМА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15" customHeight="1" x14ac:dyDescent="0.25">
      <c r="A64" s="518" t="str">
        <f>CONCATENATE(IF(A62="","","А"),A62,IF(D62="",""," Б"),D62,IF(G62="",""," В"),G62,IF(J62="",""," Г"),J62)</f>
        <v/>
      </c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21"/>
      <c r="Y64" s="21"/>
      <c r="Z64" s="21"/>
      <c r="AA64" s="21"/>
      <c r="AB64" s="21"/>
      <c r="AC64" s="21"/>
    </row>
    <row r="65" spans="1:29" x14ac:dyDescent="0.25">
      <c r="A65" s="518"/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21"/>
      <c r="Y65" s="21"/>
      <c r="Z65" s="21"/>
      <c r="AA65" s="21"/>
      <c r="AB65" s="21"/>
      <c r="AC65" s="21"/>
    </row>
    <row r="66" spans="1:29" x14ac:dyDescent="0.25">
      <c r="A66" s="518"/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18"/>
      <c r="X66" s="21"/>
      <c r="Y66" s="21"/>
      <c r="Z66" s="21"/>
      <c r="AA66" s="21"/>
      <c r="AB66" s="21"/>
      <c r="AC66" s="21"/>
    </row>
    <row r="67" spans="1:29" x14ac:dyDescent="0.25">
      <c r="A67" s="518"/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18"/>
      <c r="X67" s="21"/>
      <c r="Y67" s="21"/>
      <c r="Z67" s="21"/>
      <c r="AA67" s="21"/>
      <c r="AB67" s="21"/>
      <c r="AC67" s="21"/>
    </row>
    <row r="68" spans="1:29" x14ac:dyDescent="0.25">
      <c r="A68" s="518"/>
      <c r="B68" s="518"/>
      <c r="C68" s="518"/>
      <c r="D68" s="518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21"/>
      <c r="Y68" s="21"/>
      <c r="Z68" s="21"/>
      <c r="AA68" s="21"/>
      <c r="AB68" s="21"/>
      <c r="AC68" s="21"/>
    </row>
    <row r="69" spans="1:29" x14ac:dyDescent="0.25">
      <c r="A69" s="518"/>
      <c r="B69" s="518"/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21"/>
      <c r="Y69" s="21"/>
      <c r="Z69" s="21"/>
      <c r="AA69" s="21"/>
      <c r="AB69" s="21"/>
      <c r="AC69" s="21"/>
    </row>
    <row r="70" spans="1:29" x14ac:dyDescent="0.25">
      <c r="A70" s="518"/>
      <c r="B70" s="518"/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21"/>
      <c r="Y70" s="21"/>
      <c r="Z70" s="21"/>
      <c r="AA70" s="21"/>
      <c r="AB70" s="21"/>
      <c r="AC70" s="21"/>
    </row>
    <row r="71" spans="1:29" x14ac:dyDescent="0.25">
      <c r="A71" s="676" t="str">
        <f>IF(OR(AND(NOT(K13=9),N13=7),AND(NOT(K14=9),N14=7),AND(NOT(K15=9),N15=7),AND(NOT(K16=9),N16=7),AND(NOT(K17=9),N17=7),AND(NOT(K18=9),N18=7),AND(NOT(K19=9),N19=7),AND(NOT(K20=9),N20=7)),J28,A64)</f>
        <v/>
      </c>
      <c r="B71" s="676"/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76"/>
      <c r="V71" s="676"/>
      <c r="W71" s="676"/>
      <c r="X71" s="21"/>
      <c r="Y71" s="21"/>
      <c r="Z71" s="21"/>
      <c r="AA71" s="21"/>
      <c r="AB71" s="21"/>
      <c r="AC71" s="21"/>
    </row>
    <row r="72" spans="1:29" x14ac:dyDescent="0.25">
      <c r="A72" s="676"/>
      <c r="B72" s="676"/>
      <c r="C72" s="676"/>
      <c r="D72" s="676"/>
      <c r="E72" s="676"/>
      <c r="F72" s="676"/>
      <c r="G72" s="676"/>
      <c r="H72" s="676"/>
      <c r="I72" s="676"/>
      <c r="J72" s="676"/>
      <c r="K72" s="676"/>
      <c r="L72" s="676"/>
      <c r="M72" s="676"/>
      <c r="N72" s="676"/>
      <c r="O72" s="676"/>
      <c r="P72" s="676"/>
      <c r="Q72" s="676"/>
      <c r="R72" s="676"/>
      <c r="S72" s="676"/>
      <c r="T72" s="676"/>
      <c r="U72" s="676"/>
      <c r="V72" s="676"/>
      <c r="W72" s="676"/>
      <c r="X72" s="21"/>
      <c r="Y72" s="21"/>
      <c r="Z72" s="21"/>
      <c r="AA72" s="21"/>
      <c r="AB72" s="21"/>
      <c r="AC72" s="21"/>
    </row>
    <row r="73" spans="1:29" x14ac:dyDescent="0.25">
      <c r="A73" s="676"/>
      <c r="B73" s="676"/>
      <c r="C73" s="676"/>
      <c r="D73" s="676"/>
      <c r="E73" s="676"/>
      <c r="F73" s="676"/>
      <c r="G73" s="676"/>
      <c r="H73" s="676"/>
      <c r="I73" s="676"/>
      <c r="J73" s="676"/>
      <c r="K73" s="676"/>
      <c r="L73" s="676"/>
      <c r="M73" s="676"/>
      <c r="N73" s="676"/>
      <c r="O73" s="676"/>
      <c r="P73" s="676"/>
      <c r="Q73" s="676"/>
      <c r="R73" s="676"/>
      <c r="S73" s="676"/>
      <c r="T73" s="676"/>
      <c r="U73" s="676"/>
      <c r="V73" s="676"/>
      <c r="W73" s="676"/>
      <c r="X73" s="21"/>
      <c r="Y73" s="21"/>
      <c r="Z73" s="21"/>
      <c r="AA73" s="21"/>
      <c r="AB73" s="21"/>
      <c r="AC73" s="21"/>
    </row>
    <row r="74" spans="1:29" x14ac:dyDescent="0.25">
      <c r="A74" s="676"/>
      <c r="B74" s="676"/>
      <c r="C74" s="676"/>
      <c r="D74" s="676"/>
      <c r="E74" s="676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6"/>
      <c r="Q74" s="676"/>
      <c r="R74" s="676"/>
      <c r="S74" s="676"/>
      <c r="T74" s="676"/>
      <c r="U74" s="676"/>
      <c r="V74" s="676"/>
      <c r="W74" s="676"/>
      <c r="X74" s="21"/>
      <c r="Y74" s="21"/>
      <c r="Z74" s="21"/>
      <c r="AA74" s="21"/>
      <c r="AB74" s="21"/>
      <c r="AC74" s="21"/>
    </row>
    <row r="75" spans="1:29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ht="15.75" thickBot="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ht="15" customHeight="1" x14ac:dyDescent="0.25">
      <c r="A77" s="581" t="s">
        <v>170</v>
      </c>
      <c r="B77" s="582"/>
      <c r="C77" s="582"/>
      <c r="D77" s="582"/>
      <c r="E77" s="582"/>
      <c r="F77" s="58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ht="15.75" thickBot="1" x14ac:dyDescent="0.3">
      <c r="A78" s="584"/>
      <c r="B78" s="585"/>
      <c r="C78" s="585"/>
      <c r="D78" s="585"/>
      <c r="E78" s="585"/>
      <c r="F78" s="586"/>
      <c r="G78" s="21"/>
      <c r="H78" s="21"/>
      <c r="I78" s="21"/>
      <c r="J78" s="21"/>
      <c r="K78" s="21"/>
      <c r="L78" s="21"/>
      <c r="M78" s="98"/>
      <c r="N78" s="98"/>
      <c r="O78" s="98"/>
      <c r="P78" s="98"/>
      <c r="Q78" s="98"/>
      <c r="R78" s="98"/>
      <c r="S78" s="108"/>
      <c r="T78" s="108"/>
      <c r="U78" s="108"/>
      <c r="V78" s="108"/>
      <c r="W78" s="108"/>
      <c r="X78" s="98"/>
      <c r="Y78" s="21"/>
      <c r="Z78" s="21"/>
      <c r="AA78" s="21"/>
      <c r="AB78" s="21"/>
      <c r="AC78" s="21"/>
    </row>
    <row r="79" spans="1:29" ht="15.75" thickBot="1" x14ac:dyDescent="0.3">
      <c r="A79" s="587" t="str">
        <f>'Опросный лист'!M51</f>
        <v>-</v>
      </c>
      <c r="B79" s="588"/>
      <c r="C79" s="588"/>
      <c r="D79" s="588"/>
      <c r="E79" s="588"/>
      <c r="F79" s="589"/>
      <c r="G79" s="575" t="str">
        <f>IF(A79=0,"-",IF(A79=1,A90,IF(A79=2,A91,IF(A79=3,A92,IF(A79=4,"-",IF(A79=5,A92,IF(OR(A79="-",0),"-")))))))</f>
        <v>-</v>
      </c>
      <c r="H79" s="576"/>
      <c r="I79" s="576"/>
      <c r="J79" s="576"/>
      <c r="K79" s="576"/>
      <c r="L79" s="576"/>
      <c r="M79" s="563">
        <f>'Опросный лист'!F62</f>
        <v>0</v>
      </c>
      <c r="N79" s="564"/>
      <c r="O79" s="564"/>
      <c r="P79" s="564"/>
      <c r="Q79" s="564"/>
      <c r="R79" s="565"/>
      <c r="S79" s="449" t="str">
        <f>IF(G79="-","",CONCATENATE("(",G79," для ","/",X79,"/", "  - ",M79,")"))</f>
        <v/>
      </c>
      <c r="T79" s="561"/>
      <c r="U79" s="561"/>
      <c r="V79" s="561"/>
      <c r="W79" s="561"/>
      <c r="X79" s="4" t="str">
        <f>'Опросный лист'!P51</f>
        <v>-</v>
      </c>
    </row>
    <row r="80" spans="1:29" ht="15.75" thickBot="1" x14ac:dyDescent="0.3">
      <c r="A80" s="587" t="str">
        <f>'Опросный лист'!M52</f>
        <v>-</v>
      </c>
      <c r="B80" s="588"/>
      <c r="C80" s="588"/>
      <c r="D80" s="588"/>
      <c r="E80" s="588"/>
      <c r="F80" s="589"/>
      <c r="G80" s="577" t="str">
        <f>IF(A80=0,"-",IF(A80=1,A90,IF(A80=2,A91,IF(A80=3,A92,IF(A80=4,"-",IF(A80=5,A92,IF(OR(A80="-",0),"-")))))))</f>
        <v>-</v>
      </c>
      <c r="H80" s="578"/>
      <c r="I80" s="578"/>
      <c r="J80" s="578"/>
      <c r="K80" s="578"/>
      <c r="L80" s="578"/>
      <c r="M80" s="563">
        <f>'Опросный лист'!F63</f>
        <v>0</v>
      </c>
      <c r="N80" s="564"/>
      <c r="O80" s="564"/>
      <c r="P80" s="564"/>
      <c r="Q80" s="564"/>
      <c r="R80" s="565"/>
      <c r="S80" s="449" t="str">
        <f t="shared" ref="S80:S86" si="5">IF(G80="-","",CONCATENATE("(",G80," для ","/",X80,"/", "  - ",M80,")"))</f>
        <v/>
      </c>
      <c r="T80" s="561"/>
      <c r="U80" s="561"/>
      <c r="V80" s="561"/>
      <c r="W80" s="561"/>
      <c r="X80" s="4" t="str">
        <f>'Опросный лист'!P52</f>
        <v>-</v>
      </c>
    </row>
    <row r="81" spans="1:24" ht="15.75" thickBot="1" x14ac:dyDescent="0.3">
      <c r="A81" s="587" t="str">
        <f>'Опросный лист'!M53</f>
        <v>-</v>
      </c>
      <c r="B81" s="588"/>
      <c r="C81" s="588"/>
      <c r="D81" s="588"/>
      <c r="E81" s="588"/>
      <c r="F81" s="589"/>
      <c r="G81" s="577" t="str">
        <f>IF(A81=0,"-",IF(A81=1,A90,IF(A81=2,A91,IF(A81=3,A92,IF(A81=4,"-",IF(A81=5,A92,IF(OR(A81="-",0),"-")))))))</f>
        <v>-</v>
      </c>
      <c r="H81" s="578"/>
      <c r="I81" s="578"/>
      <c r="J81" s="578"/>
      <c r="K81" s="578"/>
      <c r="L81" s="578"/>
      <c r="M81" s="563">
        <f>'Опросный лист'!F64</f>
        <v>0</v>
      </c>
      <c r="N81" s="564"/>
      <c r="O81" s="564"/>
      <c r="P81" s="564"/>
      <c r="Q81" s="564"/>
      <c r="R81" s="565"/>
      <c r="S81" s="449" t="str">
        <f t="shared" si="5"/>
        <v/>
      </c>
      <c r="T81" s="561"/>
      <c r="U81" s="561"/>
      <c r="V81" s="561"/>
      <c r="W81" s="561"/>
      <c r="X81" s="4" t="str">
        <f>'Опросный лист'!P53</f>
        <v>-</v>
      </c>
    </row>
    <row r="82" spans="1:24" ht="15.75" thickBot="1" x14ac:dyDescent="0.3">
      <c r="A82" s="587" t="str">
        <f>'Опросный лист'!M54</f>
        <v>-</v>
      </c>
      <c r="B82" s="588"/>
      <c r="C82" s="588"/>
      <c r="D82" s="588"/>
      <c r="E82" s="588"/>
      <c r="F82" s="589"/>
      <c r="G82" s="577" t="str">
        <f>IF(A82=0,"-",IF(A82=1,A90,IF(A82=2,A91,IF(A82=3,A92,IF(A82=4,"-",IF(A82=5,A92,IF(OR(A82="-",0),"-")))))))</f>
        <v>-</v>
      </c>
      <c r="H82" s="578"/>
      <c r="I82" s="578"/>
      <c r="J82" s="578"/>
      <c r="K82" s="578"/>
      <c r="L82" s="578"/>
      <c r="M82" s="563">
        <f>'Опросный лист'!F65</f>
        <v>0</v>
      </c>
      <c r="N82" s="564"/>
      <c r="O82" s="564"/>
      <c r="P82" s="564"/>
      <c r="Q82" s="564"/>
      <c r="R82" s="565"/>
      <c r="S82" s="449" t="str">
        <f t="shared" si="5"/>
        <v/>
      </c>
      <c r="T82" s="561"/>
      <c r="U82" s="561"/>
      <c r="V82" s="561"/>
      <c r="W82" s="561"/>
      <c r="X82" s="4" t="str">
        <f>'Опросный лист'!P54</f>
        <v>-</v>
      </c>
    </row>
    <row r="83" spans="1:24" ht="15.75" thickBot="1" x14ac:dyDescent="0.3">
      <c r="A83" s="587" t="str">
        <f>'Опросный лист'!M55</f>
        <v>-</v>
      </c>
      <c r="B83" s="588"/>
      <c r="C83" s="588"/>
      <c r="D83" s="588"/>
      <c r="E83" s="588"/>
      <c r="F83" s="589"/>
      <c r="G83" s="577" t="str">
        <f>IF(A83=0,"-",IF(A83=1,A90,IF(A83=2,A91,IF(A83=3,A92,IF(A83=4,"-",IF(A83=5,A92,IF(OR(A83="-",0),"-")))))))</f>
        <v>-</v>
      </c>
      <c r="H83" s="578"/>
      <c r="I83" s="578"/>
      <c r="J83" s="578"/>
      <c r="K83" s="578"/>
      <c r="L83" s="578"/>
      <c r="M83" s="563">
        <f>'Опросный лист'!F66</f>
        <v>0</v>
      </c>
      <c r="N83" s="564"/>
      <c r="O83" s="564"/>
      <c r="P83" s="564"/>
      <c r="Q83" s="564"/>
      <c r="R83" s="565"/>
      <c r="S83" s="449" t="str">
        <f t="shared" si="5"/>
        <v/>
      </c>
      <c r="T83" s="561"/>
      <c r="U83" s="561"/>
      <c r="V83" s="561"/>
      <c r="W83" s="561"/>
      <c r="X83" s="4" t="str">
        <f>'Опросный лист'!P55</f>
        <v>-</v>
      </c>
    </row>
    <row r="84" spans="1:24" ht="15.75" thickBot="1" x14ac:dyDescent="0.3">
      <c r="A84" s="587" t="str">
        <f>'Опросный лист'!M56</f>
        <v>-</v>
      </c>
      <c r="B84" s="588"/>
      <c r="C84" s="588"/>
      <c r="D84" s="588"/>
      <c r="E84" s="588"/>
      <c r="F84" s="589"/>
      <c r="G84" s="577" t="str">
        <f>IF(A84=0,"-",IF(A84=1,A90,IF(A84=2,A91,IF(A84=3,A92,IF(A84=4,"-",IF(A84=5,A92,IF(OR(A84="-",0),"-")))))))</f>
        <v>-</v>
      </c>
      <c r="H84" s="578"/>
      <c r="I84" s="578"/>
      <c r="J84" s="578"/>
      <c r="K84" s="578"/>
      <c r="L84" s="578"/>
      <c r="M84" s="563">
        <f>'Опросный лист'!F67</f>
        <v>0</v>
      </c>
      <c r="N84" s="564"/>
      <c r="O84" s="564"/>
      <c r="P84" s="564"/>
      <c r="Q84" s="564"/>
      <c r="R84" s="565"/>
      <c r="S84" s="449" t="str">
        <f t="shared" si="5"/>
        <v/>
      </c>
      <c r="T84" s="561"/>
      <c r="U84" s="561"/>
      <c r="V84" s="561"/>
      <c r="W84" s="561"/>
      <c r="X84" s="4" t="str">
        <f>'Опросный лист'!P56</f>
        <v>-</v>
      </c>
    </row>
    <row r="85" spans="1:24" ht="15.75" thickBot="1" x14ac:dyDescent="0.3">
      <c r="A85" s="587" t="str">
        <f>'Опросный лист'!M57</f>
        <v>-</v>
      </c>
      <c r="B85" s="588"/>
      <c r="C85" s="588"/>
      <c r="D85" s="588"/>
      <c r="E85" s="588"/>
      <c r="F85" s="589"/>
      <c r="G85" s="577" t="str">
        <f>IF(A85=0,"-",IF(A85=1,A90,IF(A85=2,A91,IF(A85=3,A92,IF(A85=4,"-",IF(A85=5,A92,IF(OR(A85="-",0),"-")))))))</f>
        <v>-</v>
      </c>
      <c r="H85" s="578"/>
      <c r="I85" s="578"/>
      <c r="J85" s="578"/>
      <c r="K85" s="578"/>
      <c r="L85" s="578"/>
      <c r="M85" s="563">
        <f>'Опросный лист'!F68</f>
        <v>0</v>
      </c>
      <c r="N85" s="564"/>
      <c r="O85" s="564"/>
      <c r="P85" s="564"/>
      <c r="Q85" s="564"/>
      <c r="R85" s="565"/>
      <c r="S85" s="449" t="str">
        <f t="shared" si="5"/>
        <v/>
      </c>
      <c r="T85" s="561"/>
      <c r="U85" s="561"/>
      <c r="V85" s="561"/>
      <c r="W85" s="561"/>
      <c r="X85" s="4" t="str">
        <f>'Опросный лист'!P57</f>
        <v>-</v>
      </c>
    </row>
    <row r="86" spans="1:24" ht="15.75" thickBot="1" x14ac:dyDescent="0.3">
      <c r="A86" s="587" t="str">
        <f>'Опросный лист'!M58</f>
        <v>-</v>
      </c>
      <c r="B86" s="588"/>
      <c r="C86" s="588"/>
      <c r="D86" s="588"/>
      <c r="E86" s="588"/>
      <c r="F86" s="589"/>
      <c r="G86" s="579" t="str">
        <f>IF(A86=0,"-",IF(A86=1,A90,IF(A86=2,A91,IF(A86=3,A92,IF(A86=4,"-",IF(A86=5,A92,IF(OR(A86="-",0),"-")))))))</f>
        <v>-</v>
      </c>
      <c r="H86" s="580"/>
      <c r="I86" s="580"/>
      <c r="J86" s="580"/>
      <c r="K86" s="580"/>
      <c r="L86" s="580"/>
      <c r="M86" s="563">
        <f>'Опросный лист'!F69</f>
        <v>0</v>
      </c>
      <c r="N86" s="564"/>
      <c r="O86" s="564"/>
      <c r="P86" s="564"/>
      <c r="Q86" s="564"/>
      <c r="R86" s="565"/>
      <c r="S86" s="449" t="str">
        <f t="shared" si="5"/>
        <v/>
      </c>
      <c r="T86" s="561"/>
      <c r="U86" s="561"/>
      <c r="V86" s="561"/>
      <c r="W86" s="561"/>
      <c r="X86" s="4" t="str">
        <f>'Опросный лист'!P58</f>
        <v>-</v>
      </c>
    </row>
    <row r="87" spans="1:24" x14ac:dyDescent="0.25"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thickBot="1" x14ac:dyDescent="0.3"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thickBot="1" x14ac:dyDescent="0.3">
      <c r="A89" s="203" t="s">
        <v>184</v>
      </c>
      <c r="B89" s="204"/>
      <c r="C89" s="204"/>
      <c r="D89" s="204"/>
      <c r="E89" s="204"/>
      <c r="F89" s="20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thickBot="1" x14ac:dyDescent="0.3">
      <c r="A90" s="566" t="s">
        <v>185</v>
      </c>
      <c r="B90" s="567"/>
      <c r="C90" s="567"/>
      <c r="D90" s="567"/>
      <c r="E90" s="567"/>
      <c r="F90" s="568"/>
      <c r="G90" t="s">
        <v>188</v>
      </c>
      <c r="I90">
        <v>1</v>
      </c>
      <c r="M90" s="4"/>
      <c r="N90" s="4"/>
      <c r="O90" s="4"/>
      <c r="P90" s="4"/>
      <c r="Q90" s="159" t="str">
        <f>IF(A71=J28,"Х","НОРМА")</f>
        <v>НОРМА</v>
      </c>
      <c r="R90" s="4"/>
      <c r="S90" s="4"/>
      <c r="T90" s="4"/>
      <c r="U90" s="4"/>
      <c r="V90" s="4"/>
      <c r="W90" s="4"/>
      <c r="X90" s="4"/>
    </row>
    <row r="91" spans="1:24" ht="15.75" thickBot="1" x14ac:dyDescent="0.3">
      <c r="A91" s="569" t="s">
        <v>186</v>
      </c>
      <c r="B91" s="570"/>
      <c r="C91" s="570"/>
      <c r="D91" s="570"/>
      <c r="E91" s="570"/>
      <c r="F91" s="571"/>
      <c r="G91" t="s">
        <v>189</v>
      </c>
      <c r="I91">
        <v>2</v>
      </c>
      <c r="M91" s="4"/>
      <c r="N91" s="4"/>
      <c r="O91" s="4"/>
      <c r="P91" s="4"/>
      <c r="Q91" s="159">
        <f>IF(OR(AND(NOT(G79="-"),M79=0,NOT(K13=9)),AND(NOT(G80="-"),M80=0,NOT(K14=9)),AND(NOT(G81="-"),M81=0,NOT(K15=9)),AND(NOT(G82="-"),M82=0,NOT(K16=9)),AND(NOT(G83="-"),M83=0,NOT(K17=9)),AND(NOT(G84="-"),M84=0,NOT(K18=9)),AND(NOT(G85="-"),M85=0,NOT(K19=9)),AND(NOT(G86="-"),M86=0,NOT(K20=9))),"Х",1)</f>
        <v>1</v>
      </c>
      <c r="R91" s="4"/>
      <c r="S91" s="4"/>
      <c r="T91" s="4"/>
      <c r="U91" s="4"/>
      <c r="V91" s="4"/>
      <c r="W91" s="4"/>
      <c r="X91" s="4"/>
    </row>
    <row r="92" spans="1:24" ht="15.75" thickBot="1" x14ac:dyDescent="0.3">
      <c r="A92" s="572" t="s">
        <v>187</v>
      </c>
      <c r="B92" s="573"/>
      <c r="C92" s="573"/>
      <c r="D92" s="573"/>
      <c r="E92" s="573"/>
      <c r="F92" s="574"/>
      <c r="G92" t="s">
        <v>190</v>
      </c>
      <c r="I92" t="s">
        <v>191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" customHeight="1" x14ac:dyDescent="0.25">
      <c r="A94" s="562" t="str">
        <f>CONCATENATE("[","Особенности кабельных вводов - ",S79,S80,S81,S82,S83,S84,S85,S86,"]")</f>
        <v>[Особенности кабельных вводов - ]</v>
      </c>
      <c r="B94" s="562"/>
      <c r="C94" s="562"/>
      <c r="D94" s="562"/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  <c r="S94" s="4"/>
      <c r="T94" s="4"/>
      <c r="U94" s="4"/>
      <c r="V94" s="4"/>
      <c r="W94" s="4"/>
      <c r="X94" s="4"/>
    </row>
    <row r="95" spans="1:24" x14ac:dyDescent="0.25">
      <c r="A95" s="562"/>
      <c r="B95" s="562"/>
      <c r="C95" s="562"/>
      <c r="D95" s="562"/>
      <c r="E95" s="562"/>
      <c r="F95" s="562"/>
      <c r="G95" s="562"/>
      <c r="H95" s="562"/>
      <c r="I95" s="562"/>
      <c r="J95" s="562"/>
      <c r="K95" s="562"/>
      <c r="L95" s="562"/>
      <c r="M95" s="562"/>
      <c r="N95" s="562"/>
      <c r="O95" s="562"/>
      <c r="P95" s="562"/>
      <c r="Q95" s="562"/>
      <c r="R95" s="562"/>
      <c r="S95" s="4"/>
    </row>
    <row r="96" spans="1:24" x14ac:dyDescent="0.25">
      <c r="A96" s="562"/>
      <c r="B96" s="562"/>
      <c r="C96" s="562"/>
      <c r="D96" s="562"/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2"/>
      <c r="P96" s="562"/>
      <c r="Q96" s="562"/>
      <c r="R96" s="562"/>
      <c r="S96" s="4"/>
    </row>
    <row r="97" spans="1:19" x14ac:dyDescent="0.25">
      <c r="A97" s="562"/>
      <c r="B97" s="562"/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4"/>
    </row>
    <row r="98" spans="1:19" x14ac:dyDescent="0.25">
      <c r="A98" s="560" t="str">
        <f>IF(AND(G79="-",G80="-",G81="-",G82="-",G83="-",G84="-",G85="-",G86="-"),"",A94)</f>
        <v/>
      </c>
      <c r="B98" s="560"/>
      <c r="C98" s="560"/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4"/>
    </row>
    <row r="99" spans="1:19" x14ac:dyDescent="0.25">
      <c r="A99" s="560"/>
      <c r="B99" s="560"/>
      <c r="C99" s="560"/>
      <c r="D99" s="56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560"/>
      <c r="P99" s="560"/>
      <c r="Q99" s="560"/>
      <c r="R99" s="560"/>
    </row>
    <row r="100" spans="1:19" x14ac:dyDescent="0.25">
      <c r="A100" s="560"/>
      <c r="B100" s="560"/>
      <c r="C100" s="560"/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</row>
  </sheetData>
  <mergeCells count="233">
    <mergeCell ref="P24:R27"/>
    <mergeCell ref="P28:R34"/>
    <mergeCell ref="M57:Q57"/>
    <mergeCell ref="M58:Q58"/>
    <mergeCell ref="A64:W70"/>
    <mergeCell ref="A71:W74"/>
    <mergeCell ref="D61:F61"/>
    <mergeCell ref="G61:I61"/>
    <mergeCell ref="J61:L61"/>
    <mergeCell ref="D62:F62"/>
    <mergeCell ref="A62:C62"/>
    <mergeCell ref="G62:I62"/>
    <mergeCell ref="J62:L62"/>
    <mergeCell ref="J57:L57"/>
    <mergeCell ref="J58:L58"/>
    <mergeCell ref="M59:Q59"/>
    <mergeCell ref="A59:C59"/>
    <mergeCell ref="A61:C61"/>
    <mergeCell ref="D57:F57"/>
    <mergeCell ref="D58:F58"/>
    <mergeCell ref="D59:F59"/>
    <mergeCell ref="G57:I57"/>
    <mergeCell ref="G58:I58"/>
    <mergeCell ref="G59:I59"/>
    <mergeCell ref="J59:L59"/>
    <mergeCell ref="J54:L54"/>
    <mergeCell ref="J55:L55"/>
    <mergeCell ref="M24:O27"/>
    <mergeCell ref="M28:O32"/>
    <mergeCell ref="M52:Q52"/>
    <mergeCell ref="M53:Q53"/>
    <mergeCell ref="M54:Q54"/>
    <mergeCell ref="M55:Q55"/>
    <mergeCell ref="M56:Q56"/>
    <mergeCell ref="A51:L51"/>
    <mergeCell ref="D52:F52"/>
    <mergeCell ref="D53:F53"/>
    <mergeCell ref="D54:F54"/>
    <mergeCell ref="D55:F55"/>
    <mergeCell ref="D56:F56"/>
    <mergeCell ref="G52:I52"/>
    <mergeCell ref="G53:I53"/>
    <mergeCell ref="G54:I54"/>
    <mergeCell ref="G55:I55"/>
    <mergeCell ref="G56:I56"/>
    <mergeCell ref="J52:L52"/>
    <mergeCell ref="J53:L53"/>
    <mergeCell ref="A43:B43"/>
    <mergeCell ref="C43:E43"/>
    <mergeCell ref="D49:F49"/>
    <mergeCell ref="G49:I49"/>
    <mergeCell ref="J49:L49"/>
    <mergeCell ref="A48:L48"/>
    <mergeCell ref="A47:L47"/>
    <mergeCell ref="A46:L46"/>
    <mergeCell ref="D50:F50"/>
    <mergeCell ref="G50:I50"/>
    <mergeCell ref="J50:L50"/>
    <mergeCell ref="J56:L56"/>
    <mergeCell ref="A52:C52"/>
    <mergeCell ref="A53:C53"/>
    <mergeCell ref="A54:C54"/>
    <mergeCell ref="A55:C55"/>
    <mergeCell ref="A56:C56"/>
    <mergeCell ref="A57:C57"/>
    <mergeCell ref="A58:C58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42:E42"/>
    <mergeCell ref="F42:H42"/>
    <mergeCell ref="I42:K42"/>
    <mergeCell ref="F43:H43"/>
    <mergeCell ref="I43:K43"/>
    <mergeCell ref="A50:C50"/>
    <mergeCell ref="A49:C49"/>
    <mergeCell ref="A37:B37"/>
    <mergeCell ref="C37:E37"/>
    <mergeCell ref="F37:H37"/>
    <mergeCell ref="I37:K37"/>
    <mergeCell ref="A38:B38"/>
    <mergeCell ref="C38:E38"/>
    <mergeCell ref="F38:H38"/>
    <mergeCell ref="I38:K38"/>
    <mergeCell ref="A39:B39"/>
    <mergeCell ref="C39:E39"/>
    <mergeCell ref="F39:H39"/>
    <mergeCell ref="I39:K39"/>
    <mergeCell ref="A34:K34"/>
    <mergeCell ref="A35:B35"/>
    <mergeCell ref="C35:E35"/>
    <mergeCell ref="F35:H35"/>
    <mergeCell ref="I35:K35"/>
    <mergeCell ref="A36:B36"/>
    <mergeCell ref="C36:E36"/>
    <mergeCell ref="F36:H36"/>
    <mergeCell ref="I36:K36"/>
    <mergeCell ref="A2:C2"/>
    <mergeCell ref="A3:C3"/>
    <mergeCell ref="A4:C4"/>
    <mergeCell ref="A5:C5"/>
    <mergeCell ref="A6:C6"/>
    <mergeCell ref="A7:C7"/>
    <mergeCell ref="G24:I27"/>
    <mergeCell ref="J24:L27"/>
    <mergeCell ref="G28:I32"/>
    <mergeCell ref="J28:L32"/>
    <mergeCell ref="K6:N6"/>
    <mergeCell ref="K7:N7"/>
    <mergeCell ref="A21:C21"/>
    <mergeCell ref="D13:E13"/>
    <mergeCell ref="D14:E14"/>
    <mergeCell ref="D15:E15"/>
    <mergeCell ref="D16:E16"/>
    <mergeCell ref="D17:E17"/>
    <mergeCell ref="D18:E18"/>
    <mergeCell ref="A14:C14"/>
    <mergeCell ref="A15:C15"/>
    <mergeCell ref="A16:C16"/>
    <mergeCell ref="A17:C17"/>
    <mergeCell ref="A18:C18"/>
    <mergeCell ref="K1:N1"/>
    <mergeCell ref="A10:C12"/>
    <mergeCell ref="H10:J12"/>
    <mergeCell ref="K2:N2"/>
    <mergeCell ref="K3:N3"/>
    <mergeCell ref="K4:N4"/>
    <mergeCell ref="K5:N5"/>
    <mergeCell ref="D6:G6"/>
    <mergeCell ref="D7:G7"/>
    <mergeCell ref="H1:J1"/>
    <mergeCell ref="H2:J2"/>
    <mergeCell ref="H3:J3"/>
    <mergeCell ref="H4:J4"/>
    <mergeCell ref="H5:J5"/>
    <mergeCell ref="H6:J6"/>
    <mergeCell ref="H7:J7"/>
    <mergeCell ref="D1:G1"/>
    <mergeCell ref="D2:G2"/>
    <mergeCell ref="D3:G3"/>
    <mergeCell ref="D4:G4"/>
    <mergeCell ref="D5:G5"/>
    <mergeCell ref="A1:C1"/>
    <mergeCell ref="D10:G12"/>
    <mergeCell ref="A8:C8"/>
    <mergeCell ref="K15:L15"/>
    <mergeCell ref="K16:L16"/>
    <mergeCell ref="H13:J13"/>
    <mergeCell ref="H14:J14"/>
    <mergeCell ref="H15:J15"/>
    <mergeCell ref="H16:J16"/>
    <mergeCell ref="D21:E21"/>
    <mergeCell ref="F21:G21"/>
    <mergeCell ref="A19:C19"/>
    <mergeCell ref="F13:G13"/>
    <mergeCell ref="F14:G14"/>
    <mergeCell ref="F15:G15"/>
    <mergeCell ref="F16:G16"/>
    <mergeCell ref="F17:G17"/>
    <mergeCell ref="F18:G18"/>
    <mergeCell ref="F19:G19"/>
    <mergeCell ref="F20:G20"/>
    <mergeCell ref="A20:C20"/>
    <mergeCell ref="A13:C13"/>
    <mergeCell ref="A9:N9"/>
    <mergeCell ref="E24:F27"/>
    <mergeCell ref="A24:D27"/>
    <mergeCell ref="E28:F32"/>
    <mergeCell ref="H17:J17"/>
    <mergeCell ref="H18:J18"/>
    <mergeCell ref="D19:E19"/>
    <mergeCell ref="D20:E20"/>
    <mergeCell ref="D8:G8"/>
    <mergeCell ref="H8:J8"/>
    <mergeCell ref="K8:N8"/>
    <mergeCell ref="K17:L17"/>
    <mergeCell ref="K18:L18"/>
    <mergeCell ref="K19:L19"/>
    <mergeCell ref="K20:L20"/>
    <mergeCell ref="K21:L21"/>
    <mergeCell ref="H21:J21"/>
    <mergeCell ref="K13:L13"/>
    <mergeCell ref="H19:J19"/>
    <mergeCell ref="H20:J20"/>
    <mergeCell ref="K10:L12"/>
    <mergeCell ref="M10:M12"/>
    <mergeCell ref="N10:N12"/>
    <mergeCell ref="K14:L14"/>
    <mergeCell ref="G85:L85"/>
    <mergeCell ref="G86:L86"/>
    <mergeCell ref="M79:R79"/>
    <mergeCell ref="M80:R80"/>
    <mergeCell ref="M81:R81"/>
    <mergeCell ref="M82:R82"/>
    <mergeCell ref="A77:F78"/>
    <mergeCell ref="A79:F79"/>
    <mergeCell ref="A80:F80"/>
    <mergeCell ref="A81:F81"/>
    <mergeCell ref="A82:F82"/>
    <mergeCell ref="A83:F83"/>
    <mergeCell ref="A84:F84"/>
    <mergeCell ref="A85:F85"/>
    <mergeCell ref="A86:F86"/>
    <mergeCell ref="A98:R100"/>
    <mergeCell ref="S79:W79"/>
    <mergeCell ref="S80:W80"/>
    <mergeCell ref="S81:W81"/>
    <mergeCell ref="S82:W82"/>
    <mergeCell ref="S83:W83"/>
    <mergeCell ref="S84:W84"/>
    <mergeCell ref="S85:W85"/>
    <mergeCell ref="S86:W86"/>
    <mergeCell ref="A94:R97"/>
    <mergeCell ref="M83:R83"/>
    <mergeCell ref="M84:R84"/>
    <mergeCell ref="M85:R85"/>
    <mergeCell ref="M86:R86"/>
    <mergeCell ref="A89:F89"/>
    <mergeCell ref="A90:F90"/>
    <mergeCell ref="A91:F91"/>
    <mergeCell ref="A92:F92"/>
    <mergeCell ref="G79:L79"/>
    <mergeCell ref="G80:L80"/>
    <mergeCell ref="G81:L81"/>
    <mergeCell ref="G82:L82"/>
    <mergeCell ref="G83:L83"/>
    <mergeCell ref="G84:L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Опросный лист</vt:lpstr>
      <vt:lpstr>Габариты</vt:lpstr>
      <vt:lpstr>Клеммы</vt:lpstr>
      <vt:lpstr>Кабельные вводы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СаввинСС</dc:creator>
  <cp:lastModifiedBy>СаввинСС</cp:lastModifiedBy>
  <dcterms:created xsi:type="dcterms:W3CDTF">2017-03-09T06:57:19Z</dcterms:created>
  <dcterms:modified xsi:type="dcterms:W3CDTF">2017-05-31T13:20:31Z</dcterms:modified>
</cp:coreProperties>
</file>